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
<Relationship Id="rId1" Type="http://schemas.openxmlformats.org/officeDocument/2006/relationships/officeDocument" Target="xl/workbook.xml"/>
<Relationship Id="rId2" Type="http://schemas.openxmlformats.org/package/2006/relationships/metadata/core-properties" Target="docProps/core.xml"/>
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>
  <fileVersion appName="Calc"/>
  <bookViews>
    <workbookView activeTab="0"/>
  </bookViews>
  <sheets>
    <sheet name="Cost Calculator" sheetId="1" state="visible" r:id="rId2"/>
    <sheet name="Demand grid" sheetId="2" state="visible" r:id="rId3"/>
    <sheet name="Cover" sheetId="3" state="visible" r:id="rId4"/>
    <sheet name="Workload" sheetId="4" state="visible" r:id="rId5"/>
    <sheet name="Pricing" sheetId="5" state="visible" r:id="rId6"/>
    <sheet name="Plans" sheetId="6" state="visible" r:id="rId7"/>
    <sheet name="Bill summary" sheetId="7" state="visible" r:id="rId8"/>
    <sheet name="By horizon" sheetId="8" state="visible" r:id="rId9"/>
    <sheet name="By users" sheetId="9" state="visible" r:id="rId10"/>
    <sheet name="Per-analyst-yr" sheetId="10" state="visible" r:id="rId11"/>
    <sheet name="GPU options" sheetId="11" state="visible" r:id="rId12"/>
    <sheet name="Scenarios" sheetId="12" state="visible" r:id="rId13"/>
    <sheet name="Sources &amp; Notes" sheetId="13" state="visible" r:id="rId14"/>
  </sheets>
  <calcPr fullCalcOnLoad="1" iterateCount="100" refMode="A1" iterate="false" iterateDelta="0.001"/>
</workbook>
</file>

<file path=xl/sharedStrings.xml><?xml version="1.0" encoding="utf-8"?>
<sst xmlns="http://schemas.openxmlformats.org/spreadsheetml/2006/main" count="394" uniqueCount="394">
  <si>
    <t xml:space="preserve">ModelMeter · Cost Calculator</t>
  </si>
  <si>
    <t xml:space="preserve">Edit the yellow cells. Every blue / plan cell recomputes live via Excel formulas — same math as the live calculator.</t>
  </si>
  <si>
    <t xml:space="preserve">WORKLOAD · edit me</t>
  </si>
  <si>
    <t xml:space="preserve">Active analysts</t>
  </si>
  <si>
    <t xml:space="preserve">Messages / analyst / month</t>
  </si>
  <si>
    <t xml:space="preserve">Tokens / message</t>
  </si>
  <si>
    <t xml:space="preserve">Input tokens / message</t>
  </si>
  <si>
    <t xml:space="preserve">Output tokens / message</t>
  </si>
  <si>
    <t xml:space="preserve">Monthly messages</t>
  </si>
  <si>
    <t xml:space="preserve">ALL PLANS · live formulas · tinted by tier</t>
  </si>
  <si>
    <t xml:space="preserve">Plan</t>
  </si>
  <si>
    <t xml:space="preserve">Blended in $/M</t>
  </si>
  <si>
    <t xml:space="preserve">Blended out $/M</t>
  </si>
  <si>
    <t xml:space="preserve">Monthly</t>
  </si>
  <si>
    <t xml:space="preserve">Annual</t>
  </si>
  <si>
    <t xml:space="preserve">3-yr TCO</t>
  </si>
  <si>
    <t xml:space="preserve">5-yr TCO</t>
  </si>
  <si>
    <t xml:space="preserve">Per analyst / yr</t>
  </si>
  <si>
    <t xml:space="preserve">Per analyst / mo</t>
  </si>
  <si>
    <t xml:space="preserve">Silver</t>
  </si>
  <si>
    <t xml:space="preserve">Gold</t>
  </si>
  <si>
    <t xml:space="preserve">Platinum</t>
  </si>
  <si>
    <t xml:space="preserve">Diamond</t>
  </si>
  <si>
    <t xml:space="preserve">SELECTED PLAN · dropdown drives the scenarios table</t>
  </si>
  <si>
    <t xml:space="preserve">Selected plan</t>
  </si>
  <si>
    <t xml:space="preserve">Monthly bill (selected plan)</t>
  </si>
  <si>
    <t xml:space="preserve">Annual bill</t>
  </si>
  <si>
    <t xml:space="preserve">Per analyst / year</t>
  </si>
  <si>
    <t xml:space="preserve">CLOUD vs BUY vs RENT · selected plan as Cloud anchor</t>
  </si>
  <si>
    <t xml:space="preserve">Horizon</t>
  </si>
  <si>
    <t xml:space="preserve">Cloud (selected)</t>
  </si>
  <si>
    <t xml:space="preserve">Buy (2× H20)</t>
  </si>
  <si>
    <t xml:space="preserve">Rent (2× H100)</t>
  </si>
  <si>
    <t xml:space="preserve">Δ Buy − Cloud</t>
  </si>
  <si>
    <t xml:space="preserve">Δ Rent − Cloud</t>
  </si>
  <si>
    <t xml:space="preserve">1 month</t>
  </si>
  <si>
    <t xml:space="preserve">1 year</t>
  </si>
  <si>
    <t xml:space="preserve">2 years</t>
  </si>
  <si>
    <t xml:space="preserve">3 years</t>
  </si>
  <si>
    <t xml:space="preserve">4 years</t>
  </si>
  <si>
    <t xml:space="preserve">5 years</t>
  </si>
  <si>
    <t xml:space="preserve">GPU OPTIONS · capex · opex · 3-yr TCO (2 servers)</t>
  </si>
  <si>
    <t xml:space="preserve">Option</t>
  </si>
  <si>
    <t xml:space="preserve">Capex (one-time)</t>
  </si>
  <si>
    <t xml:space="preserve">Annual opex</t>
  </si>
  <si>
    <t xml:space="preserve">Notes</t>
  </si>
  <si>
    <t xml:space="preserve">2× H20 · BUY</t>
  </si>
  <si>
    <t xml:space="preserve">HK-importable · 3-yr useful life · $300 k capex + $50 k opex / server</t>
  </si>
  <si>
    <t xml:space="preserve">2× H100 · RENT</t>
  </si>
  <si>
    <t xml:space="preserve">—</t>
  </si>
  <si>
    <t xml:space="preserve">1-yr commit · $122 640/server/yr · SG (BIS-restricted in HK)</t>
  </si>
  <si>
    <t xml:space="preserve">2× H200 · RENT</t>
  </si>
  <si>
    <t xml:space="preserve">Est. $195 k/server/yr · SG on-demand · BIS-restricted in HK</t>
  </si>
  <si>
    <t xml:space="preserve">REFERENCE PRICES · per 1 M tokens · May 2026</t>
  </si>
  <si>
    <t xml:space="preserve">Provider</t>
  </si>
  <si>
    <t xml:space="preserve">Model</t>
  </si>
  <si>
    <t xml:space="preserve">Input $/M</t>
  </si>
  <si>
    <t xml:space="preserve">Output $/M</t>
  </si>
  <si>
    <t xml:space="preserve">Blended (10.5k in / 1k out)</t>
  </si>
  <si>
    <t xml:space="preserve">Cache policy</t>
  </si>
  <si>
    <t xml:space="preserve">Azure OpenAI · East Asia</t>
  </si>
  <si>
    <t xml:space="preserve">GPT-5.5</t>
  </si>
  <si>
    <t xml:space="preserve">90 % off cached input (prompt cache · GPT-5 family)</t>
  </si>
  <si>
    <t xml:space="preserve">GPT-5</t>
  </si>
  <si>
    <t xml:space="preserve">90 % off cached input</t>
  </si>
  <si>
    <t xml:space="preserve">GPT-5 mini</t>
  </si>
  <si>
    <t xml:space="preserve">o4-mini</t>
  </si>
  <si>
    <t xml:space="preserve">75 % off cached input (legacy tier)</t>
  </si>
  <si>
    <t xml:space="preserve">Google AI · Asia</t>
  </si>
  <si>
    <t xml:space="preserve">Gemini 3</t>
  </si>
  <si>
    <t xml:space="preserve">context cache (implicit)</t>
  </si>
  <si>
    <t xml:space="preserve">Gemma 4</t>
  </si>
  <si>
    <t xml:space="preserve">n/a (open weights option)</t>
  </si>
  <si>
    <t xml:space="preserve">Alibaba DashScope · HK</t>
  </si>
  <si>
    <t xml:space="preserve">DeepSeek V4 Pro</t>
  </si>
  <si>
    <t xml:space="preserve">50 % off cached input</t>
  </si>
  <si>
    <t xml:space="preserve">DeepSeek V4 Flash</t>
  </si>
  <si>
    <t xml:space="preserve">Qwen 3.6 Max</t>
  </si>
  <si>
    <t xml:space="preserve">AWS Bedrock · Singapore</t>
  </si>
  <si>
    <t xml:space="preserve">Claude Opus 4.7</t>
  </si>
  <si>
    <t xml:space="preserve">90 % off cached input (prompt cache · most aggressive)</t>
  </si>
  <si>
    <t xml:space="preserve">Claude Sonnet 4.6</t>
  </si>
  <si>
    <t xml:space="preserve">Claude Haiku 4.5</t>
  </si>
  <si>
    <t xml:space="preserve">Demand grid · users × questions-per-user-per-month</t>
  </si>
  <si>
    <t xml:space="preserve">Two grids: Cloud (Gold plan, pay-per-token) and three GPU options (auto-scaled fleet). Cell = 3-yr cumulative cost.</t>
  </si>
  <si>
    <t xml:space="preserve">CLOUD · Gold plan · pay-per-token</t>
  </si>
  <si>
    <t xml:space="preserve">3-yr cumulative cost using the Gold (balanced) Foundry plan at the workload's tokens/q.</t>
  </si>
  <si>
    <t xml:space="preserve">q/u → users ↓</t>
  </si>
  <si>
    <t xml:space="preserve">10</t>
  </si>
  <si>
    <t xml:space="preserve">100</t>
  </si>
  <si>
    <t xml:space="preserve">500</t>
  </si>
  <si>
    <t xml:space="preserve">1k</t>
  </si>
  <si>
    <t xml:space="preserve">3k</t>
  </si>
  <si>
    <t xml:space="preserve">10k</t>
  </si>
  <si>
    <t xml:space="preserve">$41k</t>
  </si>
  <si>
    <t xml:space="preserve">$89k</t>
  </si>
  <si>
    <t xml:space="preserve">$301k</t>
  </si>
  <si>
    <t xml:space="preserve">$566k</t>
  </si>
  <si>
    <t xml:space="preserve">$1.63M</t>
  </si>
  <si>
    <t xml:space="preserve">$5.34M</t>
  </si>
  <si>
    <t xml:space="preserve">$38k</t>
  </si>
  <si>
    <t xml:space="preserve">$62k</t>
  </si>
  <si>
    <t xml:space="preserve">$168k</t>
  </si>
  <si>
    <t xml:space="preserve">$831k</t>
  </si>
  <si>
    <t xml:space="preserve">$2.69M</t>
  </si>
  <si>
    <t xml:space="preserve">250</t>
  </si>
  <si>
    <t xml:space="preserve">$37k</t>
  </si>
  <si>
    <t xml:space="preserve">$49k</t>
  </si>
  <si>
    <t xml:space="preserve">$102k</t>
  </si>
  <si>
    <t xml:space="preserve">$433k</t>
  </si>
  <si>
    <t xml:space="preserve">$1.36M</t>
  </si>
  <si>
    <t xml:space="preserve">$36k</t>
  </si>
  <si>
    <t xml:space="preserve">$195k</t>
  </si>
  <si>
    <t xml:space="preserve">25</t>
  </si>
  <si>
    <t xml:space="preserve">$42k</t>
  </si>
  <si>
    <t xml:space="preserve">$75k</t>
  </si>
  <si>
    <t xml:space="preserve">5</t>
  </si>
  <si>
    <t xml:space="preserve">$44k</t>
  </si>
  <si>
    <t xml:space="preserve">GPU · 2× H20 · buy · auto-scaled fleet</t>
  </si>
  <si>
    <t xml:space="preserve">Capex $300 k / server amortised 3 yr ($100 k/yr) + $50 k opex</t>
  </si>
  <si>
    <t xml:space="preserve">Throughput 2000 tok/s/server · minimum 2 servers · 3-yr horizon</t>
  </si>
  <si>
    <t xml:space="preserve">$900k</t>
  </si>
  <si>
    <t xml:space="preserve">$1.35M</t>
  </si>
  <si>
    <t xml:space="preserve">$3.15M</t>
  </si>
  <si>
    <t xml:space="preserve">$10.35M</t>
  </si>
  <si>
    <t xml:space="preserve">$1.8M</t>
  </si>
  <si>
    <t xml:space="preserve">$5.4M</t>
  </si>
  <si>
    <t xml:space="preserve">$2.7M</t>
  </si>
  <si>
    <t xml:space="preserve">GPU · 2× H100 · rent · auto-scaled fleet</t>
  </si>
  <si>
    <t xml:space="preserve">1-yr commit · SG (BIS-restricted in HK)</t>
  </si>
  <si>
    <t xml:space="preserve">Throughput 12000 tok/s/server · minimum 2 servers · 3-yr horizon</t>
  </si>
  <si>
    <t xml:space="preserve">$736k</t>
  </si>
  <si>
    <t xml:space="preserve">$1.47M</t>
  </si>
  <si>
    <t xml:space="preserve">GPU · 2× H200 · rent · auto-scaled fleet</t>
  </si>
  <si>
    <t xml:space="preserve">Throughput 18000 tok/s/server · minimum 2 servers · 3-yr horizon</t>
  </si>
  <si>
    <t xml:space="preserve">$1.17M</t>
  </si>
  <si>
    <t xml:space="preserve">$1.75M</t>
  </si>
  <si>
    <t xml:space="preserve">Legend · darker cell = more expensive</t>
  </si>
  <si>
    <t xml:space="preserve">Tint range</t>
  </si>
  <si>
    <t xml:space="preserve">$1 k (palest) → $30 M+ (darkest) · 5 → 32 % ink mixed with paper</t>
  </si>
  <si>
    <t xml:space="preserve">GPU server count</t>
  </si>
  <si>
    <t xml:space="preserve">max(2, ceil(monthly_tokens / seconds_per_month / throughput_per_server))</t>
  </si>
  <si>
    <t xml:space="preserve">Tokens / question</t>
  </si>
  <si>
    <t xml:space="preserve">ModelMeter · Cost Workbook</t>
  </si>
  <si>
    <t xml:space="preserve">Pricing · plans · scenarios for the Foundry calculator</t>
  </si>
  <si>
    <t xml:space="preserve">Generated</t>
  </si>
  <si>
    <t xml:space="preserve">Generated at</t>
  </si>
  <si>
    <t xml:space="preserve">2026-06-29 13:29 UTC</t>
  </si>
  <si>
    <t xml:space="preserve">Currency</t>
  </si>
  <si>
    <t xml:space="preserve">USD</t>
  </si>
  <si>
    <t xml:space="preserve">Region</t>
  </si>
  <si>
    <t xml:space="preserve">HK / SG (Azure EA · Alibaba HK · Google AI Asia)</t>
  </si>
  <si>
    <t xml:space="preserve">Workload baked in</t>
  </si>
  <si>
    <t xml:space="preserve">Total monthly messages</t>
  </si>
  <si>
    <t xml:space="preserve">Total monthly tokens (B)</t>
  </si>
  <si>
    <t xml:space="preserve">Sheets</t>
  </si>
  <si>
    <t xml:space="preserve">1.  Workload</t>
  </si>
  <si>
    <t xml:space="preserve">Raw inputs + derived totals</t>
  </si>
  <si>
    <t xml:space="preserve">2.  Pricing</t>
  </si>
  <si>
    <t xml:space="preserve">Every chip-able model · provider · per-1M tokens</t>
  </si>
  <si>
    <t xml:space="preserve">3.  Plans</t>
  </si>
  <si>
    <t xml:space="preserve">Silver / Gold / Platinum / Diamond + lineup</t>
  </si>
  <si>
    <t xml:space="preserve">4.  Bill summary</t>
  </si>
  <si>
    <t xml:space="preserve">Hero numbers for all four plans at this workload</t>
  </si>
  <si>
    <t xml:space="preserve">5.  By horizon</t>
  </si>
  <si>
    <t xml:space="preserve">Cost at 1 mo → 5 yr per plan</t>
  </si>
  <si>
    <t xml:space="preserve">6.  By users</t>
  </si>
  <si>
    <t xml:space="preserve">5-yr cost at 100 → 50 k user buckets per plan</t>
  </si>
  <si>
    <t xml:space="preserve">7.  Per-analyst-year</t>
  </si>
  <si>
    <t xml:space="preserve">How the per-analyst rate amortises with scale</t>
  </si>
  <si>
    <t xml:space="preserve">8.  GPU options</t>
  </si>
  <si>
    <t xml:space="preserve">H20 buy + H100 / H200 / B200 rent · monthly equiv.</t>
  </si>
  <si>
    <t xml:space="preserve">9.  Scenarios</t>
  </si>
  <si>
    <t xml:space="preserve">Cloud vs Rent vs Buy over 3 yr at this workload</t>
  </si>
  <si>
    <t xml:space="preserve">10. Sources &amp; Notes</t>
  </si>
  <si>
    <t xml:space="preserve">Region disclaimers · cache factors · dates</t>
  </si>
  <si>
    <t xml:space="preserve">Plan picker</t>
  </si>
  <si>
    <t xml:space="preserve">Bill summary · By horizon · By users · Per-analyst-yr cover all four plans. The Scenarios sheet anchors Cloud at Gold (default).</t>
  </si>
  <si>
    <t xml:space="preserve">Accuracy</t>
  </si>
  <si>
    <t xml:space="preserve">Every $ figure routes through Plan.compute_bill — the same function the live calculator uses.</t>
  </si>
  <si>
    <t xml:space="preserve">Refresh</t>
  </si>
  <si>
    <t xml:space="preserve">Re-download with different workload via query params: /export/cost.xlsx?users=N&amp;msgs_per_user=N&amp;tokens_per_msg=N</t>
  </si>
  <si>
    <t xml:space="preserve">USD throughout · vendor list prices · negotiated rates typically 10 – 20 % lower at CLSA scale.</t>
  </si>
  <si>
    <t xml:space="preserve">Workload</t>
  </si>
  <si>
    <t xml:space="preserve">Inputs</t>
  </si>
  <si>
    <t xml:space="preserve">Token split (input vs output)</t>
  </si>
  <si>
    <t xml:space="preserve">Input fraction</t>
  </si>
  <si>
    <t xml:space="preserve">Output fraction</t>
  </si>
  <si>
    <t xml:space="preserve">Derived totals</t>
  </si>
  <si>
    <t xml:space="preserve">Total monthly tokens</t>
  </si>
  <si>
    <t xml:space="preserve">Monthly input tokens</t>
  </si>
  <si>
    <t xml:space="preserve">Monthly output tokens</t>
  </si>
  <si>
    <t xml:space="preserve">Fixed infra (always-on, plan-independent)</t>
  </si>
  <si>
    <t xml:space="preserve">Aurora + ElastiCache + ECS + ALB + S3 + OpenSearch ($/mo)</t>
  </si>
  <si>
    <t xml:space="preserve">3-yr fixed infra total</t>
  </si>
  <si>
    <t xml:space="preserve">Pricing · per 1 M tokens · May 2026</t>
  </si>
  <si>
    <t xml:space="preserve">Posted list prices · cache discounts applied within Plan.compute_bill (Azure 10 %, Alibaba 50 %, Bedrock Claude 10 %)</t>
  </si>
  <si>
    <t xml:space="preserve">Input $/1M</t>
  </si>
  <si>
    <t xml:space="preserve">Output $/1M</t>
  </si>
  <si>
    <t xml:space="preserve">Blended @ 10.5k in / 1k out $/1M</t>
  </si>
  <si>
    <t xml:space="preserve">Role on Foundry plans</t>
  </si>
  <si>
    <t xml:space="preserve">Premium · ambiguous prompts</t>
  </si>
  <si>
    <t xml:space="preserve">Strong default</t>
  </si>
  <si>
    <t xml:space="preserve">Volume utility</t>
  </si>
  <si>
    <t xml:space="preserve">Reasoning lane</t>
  </si>
  <si>
    <t xml:space="preserve">Long-context</t>
  </si>
  <si>
    <t xml:space="preserve">Cheap utility</t>
  </si>
  <si>
    <t xml:space="preserve">Cheap strong model</t>
  </si>
  <si>
    <t xml:space="preserve">Bulk cheap lane</t>
  </si>
  <si>
    <t xml:space="preserve">Chinese / cross-lingual</t>
  </si>
  <si>
    <t xml:space="preserve">Diamond · premium · ambiguous multi-doc</t>
  </si>
  <si>
    <t xml:space="preserve">Diamond · default workhorse · English reports</t>
  </si>
  <si>
    <t xml:space="preserve">Diamond · fast English lookups · classification</t>
  </si>
  <si>
    <t xml:space="preserve">Plans · Silver / Gold / Platinum / Diamond</t>
  </si>
  <si>
    <t xml:space="preserve">Each plan is a routing hypothesis — which models win which query class.</t>
  </si>
  <si>
    <t xml:space="preserve">Tagline</t>
  </si>
  <si>
    <t xml:space="preserve">Hypothesis</t>
  </si>
  <si>
    <t xml:space="preserve">Lanes</t>
  </si>
  <si>
    <t xml:space="preserve">Source</t>
  </si>
  <si>
    <t xml:space="preserve">Share</t>
  </si>
  <si>
    <t xml:space="preserve">Role</t>
  </si>
  <si>
    <t xml:space="preserve">Alibaba-heavy · max savings</t>
  </si>
  <si>
    <t xml:space="preserve">DeepSeek V4 Pro matches GPT-5 on English multi-doc reports — needs A/B eval to validate, but it's ~6 % cheaper per message and a 4 × larger context window.</t>
  </si>
  <si>
    <t xml:space="preserve">Azure OpenAI</t>
  </si>
  <si>
    <t xml:space="preserve">Premium · hardest only · keep narrow</t>
  </si>
  <si>
    <t xml:space="preserve">Alibaba</t>
  </si>
  <si>
    <t xml:space="preserve">Default + math + long-context · the bet of this plan</t>
  </si>
  <si>
    <t xml:space="preserve">Bulk cheap path · multilingual utility</t>
  </si>
  <si>
    <t xml:space="preserve">Google</t>
  </si>
  <si>
    <t xml:space="preserve">Open weights · multilingual utility · keeps Google in the mix</t>
  </si>
  <si>
    <t xml:space="preserve">English lookups · structured-output reliability</t>
  </si>
  <si>
    <t xml:space="preserve">Chinese frontier · mainland-specific only</t>
  </si>
  <si>
    <t xml:space="preserve">Agentic chains · OpenAI tool format</t>
  </si>
  <si>
    <t xml:space="preserve">Best tool for each job</t>
  </si>
  <si>
    <t xml:space="preserve">Each lane uses the model that wins its eval class — frontier where it's proven, cheap where utility is enough.</t>
  </si>
  <si>
    <t xml:space="preserve">Premium · hardest cross-filing · ambiguous prompts</t>
  </si>
  <si>
    <t xml:space="preserve">Default · English reports · charts</t>
  </si>
  <si>
    <t xml:space="preserve">Multimodal · chart synthesis · screenshot reasoning</t>
  </si>
  <si>
    <t xml:space="preserve">Math · long-context 1 M · cost-efficient frontier · any language</t>
  </si>
  <si>
    <t xml:space="preserve">English lookups · summarization · classification</t>
  </si>
  <si>
    <t xml:space="preserve">Open weights · multilingual utility · low-cost path</t>
  </si>
  <si>
    <t xml:space="preserve">Multilingual cheap path · high-volume utility queries</t>
  </si>
  <si>
    <t xml:space="preserve">Chinese frontier · mainland tickers · Chinese filings</t>
  </si>
  <si>
    <t xml:space="preserve">Azure-heavy · max quality</t>
  </si>
  <si>
    <t xml:space="preserve">Quality risk dominates cost risk for a regulated FS product — GPT-5.5 + GPT-5 cover everything ambiguous; Alibaba models stay narrow.</t>
  </si>
  <si>
    <t xml:space="preserve">Expanded premium · ambiguous prompts default here</t>
  </si>
  <si>
    <t xml:space="preserve">Default · all English research lanes</t>
  </si>
  <si>
    <t xml:space="preserve">Fast English lookups · classification</t>
  </si>
  <si>
    <t xml:space="preserve">Only for genuine 1 M context needs</t>
  </si>
  <si>
    <t xml:space="preserve">Chinese-only · mainland filings</t>
  </si>
  <si>
    <t xml:space="preserve">Claude-led · max quality at any cost</t>
  </si>
  <si>
    <t xml:space="preserve">Sonnet 4.6 + Opus 4.7 + Haiku 4.5 (Bedrock SG) dominate every English eval class — pay the premium for the highest-quality reports on the market. Adds Bedrock as a 3rd provider; the other plans run on Azure + Alibaba only.</t>
  </si>
  <si>
    <t xml:space="preserve">Bedrock</t>
  </si>
  <si>
    <t xml:space="preserve">Premium · hardest queries · ambiguous multi-doc</t>
  </si>
  <si>
    <t xml:space="preserve">Default · English reports · charts · the workhorse</t>
  </si>
  <si>
    <t xml:space="preserve">Multimodal fallback · chart synthesis · screenshots</t>
  </si>
  <si>
    <t xml:space="preserve">Fast English lookups · cheap path · classification</t>
  </si>
  <si>
    <t xml:space="preserve">Long-context (1 M) + math · Chinese reasoning</t>
  </si>
  <si>
    <t xml:space="preserve">Chinese frontier · mainland tickers</t>
  </si>
  <si>
    <t xml:space="preserve">Bill summary · at 3k analysts · 300 msg/mo</t>
  </si>
  <si>
    <t xml:space="preserve">All four plans · monthly / annual / 3-yr / 5-yr · per-analyst figures</t>
  </si>
  <si>
    <t xml:space="preserve">Monthly bill</t>
  </si>
  <si>
    <t xml:space="preserve">Per analyst / 3-yr</t>
  </si>
  <si>
    <t xml:space="preserve">Per analyst / 5-yr</t>
  </si>
  <si>
    <t xml:space="preserve">Per message</t>
  </si>
  <si>
    <t xml:space="preserve">Cumulative cost · by horizon</t>
  </si>
  <si>
    <t xml:space="preserve">Monthly bill × horizon (months). Linear because cost is linear in time.</t>
  </si>
  <si>
    <t xml:space="preserve">1 mo</t>
  </si>
  <si>
    <t xml:space="preserve">1 yr</t>
  </si>
  <si>
    <t xml:space="preserve">2 yr</t>
  </si>
  <si>
    <t xml:space="preserve">3 yr</t>
  </si>
  <si>
    <t xml:space="preserve">4 yr</t>
  </si>
  <si>
    <t xml:space="preserve">5 yr</t>
  </si>
  <si>
    <t xml:space="preserve">5-yr cost · by user count</t>
  </si>
  <si>
    <t xml:space="preserve">Cumulative 5-yr spend at each user bucket · msgs/u and tokens/msg held at workload</t>
  </si>
  <si>
    <t xml:space="preserve">100 users</t>
  </si>
  <si>
    <t xml:space="preserve">500 users</t>
  </si>
  <si>
    <t xml:space="preserve">1k users</t>
  </si>
  <si>
    <t xml:space="preserve">3k users</t>
  </si>
  <si>
    <t xml:space="preserve">10k users</t>
  </si>
  <si>
    <t xml:space="preserve">30k users</t>
  </si>
  <si>
    <t xml:space="preserve">50k users</t>
  </si>
  <si>
    <t xml:space="preserve">Per-analyst-year · amortisation curve</t>
  </si>
  <si>
    <t xml:space="preserve">Annual bill ÷ users. Drops as the firm scales because $990/mo fixed-infra spreads over more analysts.</t>
  </si>
  <si>
    <t xml:space="preserve">GPU options · buy vs rent</t>
  </si>
  <si>
    <t xml:space="preserve">Buy reference (CLSA Foundry uses 2 × H20 quote @ $300 k + $50 k/yr opex)</t>
  </si>
  <si>
    <t xml:space="preserve">GPU</t>
  </si>
  <si>
    <t xml:space="preserve">VRAM (GB)</t>
  </si>
  <si>
    <t xml:space="preserve">BF16 TFLOPs</t>
  </si>
  <si>
    <t xml:space="preserve">Per-server low</t>
  </si>
  <si>
    <t xml:space="preserve">Per-server high</t>
  </si>
  <si>
    <t xml:space="preserve">Per-server CLSA quote</t>
  </si>
  <si>
    <t xml:space="preserve">HK importable?</t>
  </si>
  <si>
    <t xml:space="preserve">H20</t>
  </si>
  <si>
    <t xml:space="preserve">✓ yes</t>
  </si>
  <si>
    <t xml:space="preserve">Only H-class GPU shippable to HK. Mainland street $170 – 196 k.</t>
  </si>
  <si>
    <t xml:space="preserve">H100 SXM5</t>
  </si>
  <si>
    <t xml:space="preserve">✗ BIS-restricted</t>
  </si>
  <si>
    <t xml:space="preserve">BIS-restricted to HK / CN. Available via rent in SG / TYO.</t>
  </si>
  <si>
    <t xml:space="preserve">H200 SXM5</t>
  </si>
  <si>
    <t xml:space="preserve">Direct-CN path opened Jan 2026 with 25 % fee · HK reexport still PoD.</t>
  </si>
  <si>
    <t xml:space="preserve">B200 (Blackwell)</t>
  </si>
  <si>
    <t xml:space="preserve">Presumption-of-denial · 18 – 24 mo lockout for HK / CN.</t>
  </si>
  <si>
    <t xml:space="preserve">Rent reference · on-demand $/GPU/hr · May 2026</t>
  </si>
  <si>
    <t xml:space="preserve">H100 $/hr</t>
  </si>
  <si>
    <t xml:space="preserve">H200 $/hr</t>
  </si>
  <si>
    <t xml:space="preserve">B200 $/hr</t>
  </si>
  <si>
    <t xml:space="preserve">APAC?</t>
  </si>
  <si>
    <t xml:space="preserve">Vast.ai (spot)</t>
  </si>
  <si>
    <t xml:space="preserve">host-dependent</t>
  </si>
  <si>
    <t xml:space="preserve">marketplace · no SLA</t>
  </si>
  <si>
    <t xml:space="preserve">RunPod Community</t>
  </si>
  <si>
    <t xml:space="preserve">limited</t>
  </si>
  <si>
    <t xml:space="preserve">per-ms billing</t>
  </si>
  <si>
    <t xml:space="preserve">Nebius</t>
  </si>
  <si>
    <t xml:space="preserve">SG / TYO 2026</t>
  </si>
  <si>
    <t xml:space="preserve">NVIDIA-backed · 1-yr commit $1.75/hr</t>
  </si>
  <si>
    <t xml:space="preserve">Crusoe Cloud</t>
  </si>
  <si>
    <t xml:space="preserve">no</t>
  </si>
  <si>
    <t xml:space="preserve">power-cheap US sites</t>
  </si>
  <si>
    <t xml:space="preserve">Lambda Labs</t>
  </si>
  <si>
    <t xml:space="preserve">reserved by invoice</t>
  </si>
  <si>
    <t xml:space="preserve">Modal</t>
  </si>
  <si>
    <t xml:space="preserve">serverless · per-second</t>
  </si>
  <si>
    <t xml:space="preserve">CoreWeave</t>
  </si>
  <si>
    <t xml:space="preserve">bare-metal k8s</t>
  </si>
  <si>
    <t xml:space="preserve">AWS p5 / p5e / p6</t>
  </si>
  <si>
    <t xml:space="preserve">Tokyo (no SG / HK)</t>
  </si>
  <si>
    <t xml:space="preserve">egress $0.09/GB</t>
  </si>
  <si>
    <t xml:space="preserve">Azure ND v5 / v6</t>
  </si>
  <si>
    <t xml:space="preserve">HK East · TYO · SG</t>
  </si>
  <si>
    <t xml:space="preserve">best APAC footprint</t>
  </si>
  <si>
    <t xml:space="preserve">Alibaba Cloud</t>
  </si>
  <si>
    <t xml:space="preserve">HK · SG · TYO</t>
  </si>
  <si>
    <t xml:space="preserve">contact-sales · only major with H-class in HK</t>
  </si>
  <si>
    <t xml:space="preserve">Foundry canonical numbers</t>
  </si>
  <si>
    <t xml:space="preserve">2 × H20 buy capex</t>
  </si>
  <si>
    <t xml:space="preserve">2 × H20 annual opex</t>
  </si>
  <si>
    <t xml:space="preserve">3-yr H20 buy TCO (2 servers)</t>
  </si>
  <si>
    <t xml:space="preserve">2 × H100 1-yr commit rent ($122 640/srv/yr)</t>
  </si>
  <si>
    <t xml:space="preserve">3-yr H100 rent TCO</t>
  </si>
  <si>
    <t xml:space="preserve">2 × H200 estimate ($195 k/srv/yr)</t>
  </si>
  <si>
    <t xml:space="preserve">3-yr H200 rent TCO</t>
  </si>
  <si>
    <t xml:space="preserve">Cloud vs Rent vs Buy · at this workload</t>
  </si>
  <si>
    <t xml:space="preserve">Cloud line uses the Gold (balanced) plan — the deck's default cloud lineup. Re-run with a different @plan_key by editing the cloud monthly cell.</t>
  </si>
  <si>
    <t xml:space="preserve">Cloud monthly bill — Gold plan, at this workload</t>
  </si>
  <si>
    <t xml:space="preserve">Buy · 2× H20 capex (one-time)</t>
  </si>
  <si>
    <t xml:space="preserve">Buy · annual opex (2× H20 maintenance)</t>
  </si>
  <si>
    <t xml:space="preserve">Rent · 2× H100 1-yr commit (per year)</t>
  </si>
  <si>
    <t xml:space="preserve">Cumulative cost at each horizon</t>
  </si>
  <si>
    <t xml:space="preserve">Cloud (Gold)</t>
  </si>
  <si>
    <t xml:space="preserve">3-yr decision · the headline</t>
  </si>
  <si>
    <t xml:space="preserve">Cloud 3-yr total</t>
  </si>
  <si>
    <t xml:space="preserve">Buy 3-yr total (capex + 3 yr opex)</t>
  </si>
  <si>
    <t xml:space="preserve">Rent 3-yr total (3 × annual commit)</t>
  </si>
  <si>
    <t xml:space="preserve">Cloud vs Buy delta (+ = cloud saves)</t>
  </si>
  <si>
    <t xml:space="preserve">Cloud vs Rent delta (+ = cloud saves)</t>
  </si>
  <si>
    <t xml:space="preserve">Buy-vs-cloud crossover (months until buy beats cloud)</t>
  </si>
  <si>
    <t xml:space="preserve">≈ month 102</t>
  </si>
  <si>
    <t xml:space="preserve">Sources · notes · regional caveats</t>
  </si>
  <si>
    <t xml:space="preserve">Pricing sources · May 2026</t>
  </si>
  <si>
    <t xml:space="preserve">Azure OpenAI (East Asia)</t>
  </si>
  <si>
    <t xml:space="preserve">https://azure.microsoft.com/pricing/details/cognitive-services/openai-service/</t>
  </si>
  <si>
    <t xml:space="preserve">Alibaba DashScope (HK)</t>
  </si>
  <si>
    <t xml:space="preserve">https://www.alibabacloud.com/help/en/model-studio</t>
  </si>
  <si>
    <t xml:space="preserve">Google AI (Asia)</t>
  </si>
  <si>
    <t xml:space="preserve">https://ai.google.dev/pricing</t>
  </si>
  <si>
    <t xml:space="preserve">Foundry catalog DB</t>
  </si>
  <si>
    <t xml:space="preserve">/pricing — same per-token prices, validated against vendor portals weekly</t>
  </si>
  <si>
    <t xml:space="preserve">Region / regulatory</t>
  </si>
  <si>
    <t xml:space="preserve">H100 / H200 / B200 in HK · Mainland CN</t>
  </si>
  <si>
    <t xml:space="preserve">BIS export-controlled. Buy path blocked; rent via SG / TYO.</t>
  </si>
  <si>
    <t xml:space="preserve">H20 in HK</t>
  </si>
  <si>
    <t xml:space="preserve">Importable. CLSA Foundry preferred buy path (3-yr amortisation).</t>
  </si>
  <si>
    <t xml:space="preserve">Cross-strait data residency</t>
  </si>
  <si>
    <t xml:space="preserve">Foundry workload sits in HK; CLSA data never leaves region without compliance sign-off.</t>
  </si>
  <si>
    <t xml:space="preserve">Cache factor assumptions (in Plan.compute_bill)</t>
  </si>
  <si>
    <t xml:space="preserve">Cache-eligible input %</t>
  </si>
  <si>
    <t xml:space="preserve">Azure prompt-cache factor (multiplier on cached input)</t>
  </si>
  <si>
    <t xml:space="preserve">Alibaba prompt-cache factor</t>
  </si>
  <si>
    <t xml:space="preserve">Bedrock Claude prompt-cache factor</t>
  </si>
  <si>
    <t xml:space="preserve">Workload defaults</t>
  </si>
  <si>
    <t xml:space="preserve">Active analysts (default)</t>
  </si>
  <si>
    <t xml:space="preserve">Messages / analyst / month (default)</t>
  </si>
  <si>
    <t xml:space="preserve">Input tokens / message (default)</t>
  </si>
  <si>
    <t xml:space="preserve">Output tokens / message (default)</t>
  </si>
  <si>
    <t xml:space="preserve">Fixed AWS infra ($/mo)</t>
  </si>
  <si>
    <t xml:space="preserve">Caveats</t>
  </si>
  <si>
    <t xml:space="preserve">Token mix</t>
  </si>
  <si>
    <t xml:space="preserve">10.5 k input / 1 k output. Real workload may differ; re-download with different tokens_per_msg.</t>
  </si>
  <si>
    <t xml:space="preserve">Vendor list price</t>
  </si>
  <si>
    <t xml:space="preserve">Posted prices · negotiated rates typically 10–20 % lower at CLSA scale.</t>
  </si>
  <si>
    <t xml:space="preserve">USD throughout. Vendor billing may include FX surcharge in HK / SG.</t>
  </si>
  <si>
    <t xml:space="preserve">Generated by ModelMeter · https://model-meter.com · regenerate at /export/cost.xlsx</t>
  </si>
</sst>
</file>

<file path=xl/styles.xml><?xml version="1.0" encoding="utf-8"?>
<styleSheet xmlns="http://schemas.openxmlformats.org/spreadsheetml/2006/main">
  <numFmts count="9">
    <numFmt numFmtId="164" formatCode="$#,##0.00"/>
    <numFmt numFmtId="165" formatCode="$#,##0"/>
    <numFmt numFmtId="166" formatCode="0%"/>
    <numFmt numFmtId="167" formatCode="0.000"/>
    <numFmt numFmtId="168" formatCode="$#,##0.0000"/>
    <numFmt numFmtId="169" formatCode="0.00%"/>
    <numFmt numFmtId="170" formatCode="#,##0"/>
    <numFmt numFmtId="171" formatCode="$#,##0;[Red]-$#,##0"/>
    <numFmt numFmtId="172" formatCode="0.00"/>
  </numFmts>
  <fonts count="15">
    <font/>
    <font>
      <b val="1"/>
      <color rgb="FF6B675F"/>
    </font>
    <font>
      <b val="1"/>
    </font>
    <font>
      <color rgb="FF001F4D"/>
    </font>
    <font>
      <b val="1"/>
      <sz val="12"/>
      <color rgb="FFFBF9F4"/>
    </font>
    <font>
      <b val="1"/>
      <sz val="22"/>
      <color rgb="FFFBF9F4"/>
    </font>
    <font>
      <b val="1"/>
      <color rgb="FF001F4D"/>
    </font>
    <font>
      <b val="1"/>
    </font>
    <font>
      <color rgb="FF6B675F"/>
    </font>
    <font>
      <b val="1"/>
      <color rgb="FFFBF9F4"/>
    </font>
    <font>
      <i val="1"/>
      <color rgb="FF6B675F"/>
    </font>
    <font>
      <b val="1"/>
      <sz val="22"/>
      <color rgb="FF001F4D"/>
    </font>
    <font>
      <b val="1"/>
      <sz val="18"/>
      <color rgb="FF001F4D"/>
    </font>
    <font>
      <i val="1"/>
      <sz val="11"/>
      <color rgb="FF6B675F"/>
    </font>
    <font>
      <b val="1"/>
      <sz val="13"/>
      <color rgb="FF001F4D"/>
    </font>
  </fonts>
  <fills count="24">
    <fill>
      <patternFill patternType="none"/>
    </fill>
    <fill>
      <patternFill patternType="gray125"/>
    </fill>
    <fill>
      <patternFill patternType="solid">
        <fgColor rgb="FFD5D8DB"/>
      </patternFill>
    </fill>
    <fill>
      <patternFill patternType="solid">
        <fgColor rgb="FFD8E5DE"/>
      </patternFill>
    </fill>
    <fill>
      <patternFill patternType="solid">
        <fgColor rgb="FFF2EBD5"/>
      </patternFill>
    </fill>
    <fill>
      <patternFill patternType="solid">
        <fgColor rgb="FFC9CDD3"/>
      </patternFill>
    </fill>
    <fill>
      <patternFill patternType="solid">
        <fgColor rgb="FF001F4D"/>
      </patternFill>
    </fill>
    <fill>
      <patternFill patternType="solid">
        <fgColor rgb="FFFFF8E1"/>
      </patternFill>
    </fill>
    <fill>
      <patternFill patternType="solid">
        <fgColor rgb="FFC1C7CE"/>
      </patternFill>
    </fill>
    <fill>
      <patternFill patternType="solid">
        <fgColor rgb="FFBAC0C9"/>
      </patternFill>
    </fill>
    <fill>
      <patternFill patternType="solid">
        <fgColor rgb="FFE0E6EC"/>
      </patternFill>
    </fill>
    <fill>
      <patternFill patternType="solid">
        <fgColor rgb="FFD3D6D9"/>
      </patternFill>
    </fill>
    <fill>
      <patternFill patternType="solid">
        <fgColor rgb="FFCED2D6"/>
      </patternFill>
    </fill>
    <fill>
      <patternFill patternType="solid">
        <fgColor rgb="FFFFFFFF"/>
      </patternFill>
    </fill>
    <fill>
      <patternFill patternType="solid">
        <fgColor rgb="FFE8F1F8"/>
      </patternFill>
    </fill>
    <fill>
      <patternFill patternType="solid">
        <fgColor rgb="FFC6CBD1"/>
      </patternFill>
    </fill>
    <fill>
      <patternFill patternType="solid">
        <fgColor rgb="FFD0D4D8"/>
      </patternFill>
    </fill>
    <fill>
      <patternFill patternType="solid">
        <fgColor rgb="FFB7BEC7"/>
      </patternFill>
    </fill>
    <fill>
      <patternFill patternType="solid">
        <fgColor rgb="FFBFC5CC"/>
      </patternFill>
    </fill>
    <fill>
      <patternFill patternType="solid">
        <fgColor rgb="FFC4C9CF"/>
      </patternFill>
    </fill>
    <fill>
      <patternFill patternType="solid">
        <fgColor rgb="FFB2BAC4"/>
      </patternFill>
    </fill>
    <fill>
      <patternFill patternType="solid">
        <fgColor rgb="FFD8DADD"/>
      </patternFill>
    </fill>
    <fill>
      <patternFill patternType="solid">
        <fgColor rgb="FFBCC3CA"/>
      </patternFill>
    </fill>
    <fill>
      <patternFill patternType="solid">
        <fgColor rgb="FFCBD0D4"/>
      </patternFill>
    </fill>
  </fills>
  <borders count="2">
    <border/>
    <border diagonalUp="false" diagonalDown="false">
      <left/>
      <right/>
      <top/>
      <bottom/>
      <diagonal/>
    </border>
  </borders>
  <cellStyleXfs count="1">
    <xf borderId="0" numFmtId="0" fillId="0" fontId="0" applyAlignment="1">
      <alignment wrapText="1"/>
    </xf>
  </cellStyleXfs>
  <cellXfs count="68">
    <xf borderId="0" numFmtId="0" fillId="0" fontId="0" xfId="0"/>
    <xf borderId="1" fillId="6" fontId="5" numFmtId="0" xfId="0" applyAlignment="1">
      <alignment horizontal="center"/>
    </xf>
    <xf borderId="1" fillId="0" fontId="13" numFmtId="0" xfId="0" applyAlignment="1">
</xf>
    <xf borderId="1" fillId="6" fontId="4" numFmtId="0" xfId="0" applyAlignment="1">
      <alignment horizontal="left"/>
    </xf>
    <xf borderId="1" fillId="0" fontId="8" numFmtId="0" xfId="0" applyAlignment="1">
</xf>
    <xf borderId="1" fillId="7" fontId="6" numFmtId="170" xfId="0" applyAlignment="1">
</xf>
    <xf borderId="1" fillId="14" fontId="3" numFmtId="170" xfId="0" applyAlignment="1">
</xf>
    <xf borderId="1" fillId="6" fontId="9" numFmtId="0" xfId="0" applyAlignment="1">
      <alignment horizontal="center"/>
    </xf>
    <xf borderId="1" fillId="13" fontId="6" numFmtId="0" xfId="0" applyAlignment="1">
</xf>
    <xf borderId="1" fillId="13" fontId="0" numFmtId="168" xfId="0">
</xf>
    <xf borderId="1" fillId="13" fontId="7" numFmtId="165" xfId="0" applyAlignment="1">
</xf>
    <xf borderId="1" fillId="13" fontId="0" numFmtId="165" xfId="0">
</xf>
    <xf borderId="1" fillId="13" fontId="7" numFmtId="164" xfId="0" applyAlignment="1">
</xf>
    <xf borderId="1" fillId="13" fontId="0" numFmtId="164" xfId="0">
</xf>
    <xf borderId="1" fillId="4" fontId="6" numFmtId="0" xfId="0" applyAlignment="1">
</xf>
    <xf borderId="1" fillId="4" fontId="0" numFmtId="168" xfId="0">
</xf>
    <xf borderId="1" fillId="4" fontId="7" numFmtId="165" xfId="0" applyAlignment="1">
</xf>
    <xf borderId="1" fillId="4" fontId="0" numFmtId="165" xfId="0">
</xf>
    <xf borderId="1" fillId="4" fontId="7" numFmtId="164" xfId="0" applyAlignment="1">
</xf>
    <xf borderId="1" fillId="4" fontId="0" numFmtId="164" xfId="0">
</xf>
    <xf borderId="1" fillId="10" fontId="6" numFmtId="0" xfId="0" applyAlignment="1">
</xf>
    <xf borderId="1" fillId="10" fontId="0" numFmtId="168" xfId="0">
</xf>
    <xf borderId="1" fillId="10" fontId="7" numFmtId="165" xfId="0" applyAlignment="1">
</xf>
    <xf borderId="1" fillId="10" fontId="0" numFmtId="165" xfId="0">
</xf>
    <xf borderId="1" fillId="10" fontId="7" numFmtId="164" xfId="0" applyAlignment="1">
</xf>
    <xf borderId="1" fillId="10" fontId="0" numFmtId="164" xfId="0">
</xf>
    <xf borderId="1" fillId="3" fontId="6" numFmtId="0" xfId="0" applyAlignment="1">
</xf>
    <xf borderId="1" fillId="3" fontId="0" numFmtId="168" xfId="0">
</xf>
    <xf borderId="1" fillId="3" fontId="7" numFmtId="165" xfId="0" applyAlignment="1">
</xf>
    <xf borderId="1" fillId="3" fontId="0" numFmtId="165" xfId="0">
</xf>
    <xf borderId="1" fillId="3" fontId="7" numFmtId="164" xfId="0" applyAlignment="1">
</xf>
    <xf borderId="1" fillId="3" fontId="0" numFmtId="164" xfId="0">
</xf>
    <xf borderId="1" fillId="7" fontId="6" numFmtId="0" xfId="0" applyAlignment="1">
</xf>
    <xf borderId="1" fillId="14" fontId="3" numFmtId="165" xfId="0" applyAlignment="1">
</xf>
    <xf borderId="1" fillId="14" fontId="3" numFmtId="164" xfId="0" applyAlignment="1">
</xf>
    <xf borderId="1" fillId="0" fontId="6" numFmtId="0" xfId="0" applyAlignment="1">
</xf>
    <xf borderId="1" fillId="0" fontId="0" numFmtId="165" xfId="0">
</xf>
    <xf borderId="1" fillId="0" fontId="8" numFmtId="165" xfId="0" applyAlignment="1">
</xf>
    <xf borderId="1" fillId="0" fontId="0" numFmtId="171" xfId="0">
</xf>
    <xf borderId="1" fillId="0" fontId="10" numFmtId="0" xfId="0" applyAlignment="1">
</xf>
    <xf borderId="1" fillId="0" fontId="0" numFmtId="168" xfId="0">
</xf>
    <xf borderId="1" fillId="0" fontId="3" numFmtId="168" xfId="0" applyAlignment="1">
</xf>
    <xf borderId="1" fillId="0" fontId="12" numFmtId="0" xfId="0" applyAlignment="1">
</xf>
    <xf borderId="1" fillId="0" fontId="14" numFmtId="0" xfId="0" applyAlignment="1">
</xf>
    <xf borderId="1" fillId="0" fontId="1" numFmtId="0" xfId="0" applyAlignment="1">
</xf>
    <xf borderId="1" fillId="2" fontId="2" numFmtId="0" xfId="0" applyAlignment="1">
      <alignment horizontal="center"/>
    </xf>
    <xf borderId="1" fillId="16" fontId="2" numFmtId="0" xfId="0" applyAlignment="1">
      <alignment horizontal="center"/>
    </xf>
    <xf borderId="1" fillId="5" fontId="2" numFmtId="0" xfId="0" applyAlignment="1">
      <alignment horizontal="center"/>
    </xf>
    <xf borderId="1" fillId="19" fontId="2" numFmtId="0" xfId="0" applyAlignment="1">
      <alignment horizontal="center"/>
    </xf>
    <xf borderId="1" fillId="18" fontId="2" numFmtId="0" xfId="0" applyAlignment="1">
      <alignment horizontal="center"/>
    </xf>
    <xf borderId="1" fillId="17" fontId="2" numFmtId="0" xfId="0" applyAlignment="1">
      <alignment horizontal="center"/>
    </xf>
    <xf borderId="1" fillId="21" fontId="2" numFmtId="0" xfId="0" applyAlignment="1">
      <alignment horizontal="center"/>
    </xf>
    <xf borderId="1" fillId="11" fontId="2" numFmtId="0" xfId="0" applyAlignment="1">
      <alignment horizontal="center"/>
    </xf>
    <xf borderId="1" fillId="12" fontId="2" numFmtId="0" xfId="0" applyAlignment="1">
      <alignment horizontal="center"/>
    </xf>
    <xf borderId="1" fillId="8" fontId="2" numFmtId="0" xfId="0" applyAlignment="1">
      <alignment horizontal="center"/>
    </xf>
    <xf borderId="1" fillId="9" fontId="2" numFmtId="0" xfId="0" applyAlignment="1">
      <alignment horizontal="center"/>
    </xf>
    <xf borderId="1" fillId="15" fontId="2" numFmtId="0" xfId="0" applyAlignment="1">
      <alignment horizontal="center"/>
    </xf>
    <xf borderId="1" fillId="23" fontId="2" numFmtId="0" xfId="0" applyAlignment="1">
      <alignment horizontal="center"/>
    </xf>
    <xf borderId="1" fillId="20" fontId="2" numFmtId="0" xfId="0" applyAlignment="1">
      <alignment horizontal="center"/>
    </xf>
    <xf borderId="1" fillId="22" fontId="2" numFmtId="0" xfId="0" applyAlignment="1">
      <alignment horizontal="center"/>
    </xf>
    <xf borderId="1" fillId="0" fontId="0" numFmtId="170" xfId="0">
</xf>
    <xf borderId="1" fillId="0" fontId="11" numFmtId="0" xfId="0" applyAlignment="1">
</xf>
    <xf borderId="1" fillId="0" fontId="0" numFmtId="172" xfId="0">
</xf>
    <xf borderId="1" fillId="0" fontId="7" numFmtId="170" xfId="0" applyAlignment="1">
</xf>
    <xf borderId="1" fillId="0" fontId="0" numFmtId="169" xfId="0">
</xf>
    <xf borderId="1" fillId="0" fontId="0" numFmtId="167" xfId="0">
</xf>
    <xf borderId="1" fillId="0" fontId="0" numFmtId="166" xfId="0">
</xf>
    <xf borderId="1" fillId="0" fontId="0" numFmtId="164" xfId="0">
</xf>
  </cellXfs>
</styleSheet>
</file>

<file path=xl/_rels/workbook.xml.rels><?xml version="1.0" encoding="UTF-8"?>
<Relationships xmlns="http://schemas.openxmlformats.org/package/2006/relationships">
  <Relationship Id="rId1" Type="http://schemas.openxmlformats.org/officeDocument/2006/relationships/styles" Target="styles.xml"/>
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  <Relationship Id="rId15" Type="http://schemas.openxmlformats.org/officeDocument/2006/relationships/sharedStrings" Target="sharedStrings.xml"/>
</Relationships>
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workbookViewId="0">
      <pane xSplit="0" ySplit="2" topLeftCell="A3" activePane="bottomLeft" state="frozen"/>
      <selection pane="bottomLeft" activeCell="A1" sqref="A1"/>
    </sheetView>
  </sheetViews>
  <sheetFormatPr defaultRowHeight="12.8"/>
  <cols>
    <col min="1" max="1" width="32" customWidth="1"/>
    <col min="2" max="2" width="18" customWidth="1"/>
    <col min="3" max="3" width="18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</cols>
  <sheetData>
    <row r="1">
      <c r="A1" s="1" t="s">
        <v>0</v>
      </c>
    </row>
    <row r="2">
      <c r="A2" s="2" t="s">
        <v>1</v>
      </c>
    </row>
    <row r="3">
      <c r="A3" s="3" t="s">
        <v>2</v>
      </c>
    </row>
    <row r="4">
      <c r="A4" s="4" t="s">
        <v>3</v>
      </c>
      <c r="B4" s="5" t="n">
        <v>3000</v>
      </c>
    </row>
    <row r="5">
      <c r="A5" s="4" t="s">
        <v>4</v>
      </c>
      <c r="B5" s="5" t="n">
        <v>300</v>
      </c>
    </row>
    <row r="6">
      <c r="A6" s="4" t="s">
        <v>5</v>
      </c>
      <c r="B6" s="5" t="n">
        <v>11500</v>
      </c>
    </row>
    <row r="7">
      <c r="A7" s="4" t="s">
        <v>6</v>
      </c>
      <c r="B7" s="6">
        <f>ROUND(B6*10500/11500,0)</f>
      </c>
    </row>
    <row r="8">
      <c r="A8" s="4" t="s">
        <v>7</v>
      </c>
      <c r="B8" s="6">
        <f>B6-B7</f>
      </c>
    </row>
    <row r="9">
      <c r="A9" s="4" t="s">
        <v>8</v>
      </c>
      <c r="B9" s="6">
        <f>B4*B5</f>
      </c>
    </row>
    <row r="10">
</row>
    <row r="11">
      <c r="A11" s="3" t="s">
        <v>9</v>
      </c>
    </row>
    <row r="12">
      <c r="A12" s="7" t="s">
        <v>10</v>
      </c>
      <c r="B12" s="7" t="s">
        <v>11</v>
      </c>
      <c r="C12" s="7" t="s">
        <v>12</v>
      </c>
      <c r="D12" s="7" t="s">
        <v>13</v>
      </c>
      <c r="E12" s="7" t="s">
        <v>14</v>
      </c>
      <c r="F12" s="7" t="s">
        <v>15</v>
      </c>
      <c r="G12" s="7" t="s">
        <v>16</v>
      </c>
      <c r="H12" s="7" t="s">
        <v>17</v>
      </c>
      <c r="I12" s="7" t="s">
        <v>18</v>
      </c>
    </row>
    <row r="13">
      <c r="A13" s="8" t="s">
        <v>19</v>
      </c>
      <c r="B13" s="9" t="n">
        <v>0.6656250000000001</v>
      </c>
      <c r="C13" s="9" t="n">
        <v>4.354</v>
      </c>
      <c r="D13" s="10">
        <f>($B$4*$B$5*($B$7*B13+$B$8*C13))/1000000+990</f>
      </c>
      <c r="E13" s="11">
        <f>D13*12</f>
      </c>
      <c r="F13" s="11">
        <f>D13*36</f>
      </c>
      <c r="G13" s="11">
        <f>D13*60</f>
      </c>
      <c r="H13" s="12">
        <f>IF($B$4&gt;0, E13/$B$4, 0)</f>
      </c>
      <c r="I13" s="13">
        <f>IF($B$4&gt;0, D13/$B$4, 0)</f>
      </c>
    </row>
    <row r="14">
      <c r="A14" s="14" t="s">
        <v>20</v>
      </c>
      <c r="B14" s="15" t="n">
        <v>0.7545350000000002</v>
      </c>
      <c r="C14" s="15" t="n">
        <v>6.800800000000002</v>
      </c>
      <c r="D14" s="16">
        <f>($B$4*$B$5*($B$7*B14+$B$8*C14))/1000000+990</f>
      </c>
      <c r="E14" s="17">
        <f>D14*12</f>
      </c>
      <c r="F14" s="17">
        <f>D14*36</f>
      </c>
      <c r="G14" s="17">
        <f>D14*60</f>
      </c>
      <c r="H14" s="18">
        <f>IF($B$4&gt;0, E14/$B$4, 0)</f>
      </c>
      <c r="I14" s="19">
        <f>IF($B$4&gt;0, D14/$B$4, 0)</f>
      </c>
    </row>
    <row r="15">
      <c r="A15" s="20" t="s">
        <v>21</v>
      </c>
      <c r="B15" s="21" t="n">
        <v>0.8782000000000001</v>
      </c>
      <c r="C15" s="21" t="n">
        <v>10.883999999999999</v>
      </c>
      <c r="D15" s="22">
        <f>($B$4*$B$5*($B$7*B15+$B$8*C15))/1000000+990</f>
      </c>
      <c r="E15" s="23">
        <f>D15*12</f>
      </c>
      <c r="F15" s="23">
        <f>D15*36</f>
      </c>
      <c r="G15" s="23">
        <f>D15*60</f>
      </c>
      <c r="H15" s="24">
        <f>IF($B$4&gt;0, E15/$B$4, 0)</f>
      </c>
      <c r="I15" s="25">
        <f>IF($B$4&gt;0, D15/$B$4, 0)</f>
      </c>
    </row>
    <row r="16">
      <c r="A16" s="26" t="s">
        <v>22</v>
      </c>
      <c r="B16" s="27" t="n">
        <v>1.1425200000000002</v>
      </c>
      <c r="C16" s="27" t="n">
        <v>12.441600000000001</v>
      </c>
      <c r="D16" s="28">
        <f>($B$4*$B$5*($B$7*B16+$B$8*C16))/1000000+990</f>
      </c>
      <c r="E16" s="29">
        <f>D16*12</f>
      </c>
      <c r="F16" s="29">
        <f>D16*36</f>
      </c>
      <c r="G16" s="29">
        <f>D16*60</f>
      </c>
      <c r="H16" s="30">
        <f>IF($B$4&gt;0, E16/$B$4, 0)</f>
      </c>
      <c r="I16" s="31">
        <f>IF($B$4&gt;0, D16/$B$4, 0)</f>
      </c>
    </row>
    <row r="17">
</row>
    <row r="18">
      <c r="A18" s="3" t="s">
        <v>23</v>
      </c>
    </row>
    <row r="19">
      <c r="A19" s="4" t="s">
        <v>24</v>
      </c>
      <c r="B19" s="32" t="s">
        <v>20</v>
      </c>
    </row>
    <row r="20">
      <c r="A20" s="4" t="s">
        <v>25</v>
      </c>
      <c r="B20" s="33">
        <f>VLOOKUP(B19,A13:I16,4,FALSE)</f>
      </c>
    </row>
    <row r="21">
      <c r="A21" s="4" t="s">
        <v>26</v>
      </c>
      <c r="B21" s="33">
        <f>B20*12</f>
      </c>
    </row>
    <row r="22">
      <c r="A22" s="4" t="s">
        <v>15</v>
      </c>
      <c r="B22" s="33">
        <f>B20*36</f>
      </c>
    </row>
    <row r="23">
      <c r="A23" s="4" t="s">
        <v>16</v>
      </c>
      <c r="B23" s="33">
        <f>B20*60</f>
      </c>
    </row>
    <row r="24">
      <c r="A24" s="4" t="s">
        <v>27</v>
      </c>
      <c r="B24" s="34">
        <f>IF(B4&gt;0,B20*12/B4,0)</f>
      </c>
    </row>
    <row r="25">
</row>
    <row r="26">
      <c r="A26" s="3" t="s">
        <v>28</v>
      </c>
    </row>
    <row r="27">
      <c r="A27" s="7" t="s">
        <v>29</v>
      </c>
      <c r="B27" s="7" t="s">
        <v>30</v>
      </c>
      <c r="C27" s="7" t="s">
        <v>31</v>
      </c>
      <c r="D27" s="7" t="s">
        <v>32</v>
      </c>
      <c r="E27" s="7" t="s">
        <v>33</v>
      </c>
      <c r="F27" s="7" t="s">
        <v>34</v>
      </c>
    </row>
    <row r="28">
      <c r="A28" s="35" t="s">
        <v>35</v>
      </c>
      <c r="B28" s="36">
        <f>$B$20*1</f>
      </c>
      <c r="C28" s="37">
        <f>600000+(100000/12)*1</f>
      </c>
      <c r="D28" s="37">
        <f>(245280/12)*1</f>
      </c>
      <c r="E28" s="38">
        <f>C28-B28</f>
      </c>
      <c r="F28" s="38">
        <f>D28-B28</f>
      </c>
    </row>
    <row r="29">
      <c r="A29" s="35" t="s">
        <v>36</v>
      </c>
      <c r="B29" s="36">
        <f>$B$20*12</f>
      </c>
      <c r="C29" s="37">
        <f>600000+(100000/12)*12</f>
      </c>
      <c r="D29" s="37">
        <f>(245280/12)*12</f>
      </c>
      <c r="E29" s="38">
        <f>C29-B29</f>
      </c>
      <c r="F29" s="38">
        <f>D29-B29</f>
      </c>
    </row>
    <row r="30">
      <c r="A30" s="35" t="s">
        <v>37</v>
      </c>
      <c r="B30" s="36">
        <f>$B$20*24</f>
      </c>
      <c r="C30" s="37">
        <f>600000+(100000/12)*24</f>
      </c>
      <c r="D30" s="37">
        <f>(245280/12)*24</f>
      </c>
      <c r="E30" s="38">
        <f>C30-B30</f>
      </c>
      <c r="F30" s="38">
        <f>D30-B30</f>
      </c>
    </row>
    <row r="31">
      <c r="A31" s="35" t="s">
        <v>38</v>
      </c>
      <c r="B31" s="36">
        <f>$B$20*36</f>
      </c>
      <c r="C31" s="37">
        <f>600000+(100000/12)*36</f>
      </c>
      <c r="D31" s="37">
        <f>(245280/12)*36</f>
      </c>
      <c r="E31" s="38">
        <f>C31-B31</f>
      </c>
      <c r="F31" s="38">
        <f>D31-B31</f>
      </c>
    </row>
    <row r="32">
      <c r="A32" s="35" t="s">
        <v>39</v>
      </c>
      <c r="B32" s="36">
        <f>$B$20*48</f>
      </c>
      <c r="C32" s="37">
        <f>600000+(100000/12)*48</f>
      </c>
      <c r="D32" s="37">
        <f>(245280/12)*48</f>
      </c>
      <c r="E32" s="38">
        <f>C32-B32</f>
      </c>
      <c r="F32" s="38">
        <f>D32-B32</f>
      </c>
    </row>
    <row r="33">
      <c r="A33" s="35" t="s">
        <v>40</v>
      </c>
      <c r="B33" s="36">
        <f>$B$20*60</f>
      </c>
      <c r="C33" s="37">
        <f>600000+(100000/12)*60</f>
      </c>
      <c r="D33" s="37">
        <f>(245280/12)*60</f>
      </c>
      <c r="E33" s="38">
        <f>C33-B33</f>
      </c>
      <c r="F33" s="38">
        <f>D33-B33</f>
      </c>
    </row>
    <row r="34">
</row>
    <row r="35">
      <c r="A35" s="3" t="s">
        <v>41</v>
      </c>
    </row>
    <row r="36">
      <c r="A36" s="7" t="s">
        <v>42</v>
      </c>
      <c r="B36" s="7" t="s">
        <v>43</v>
      </c>
      <c r="C36" s="7" t="s">
        <v>44</v>
      </c>
      <c r="D36" s="7" t="s">
        <v>15</v>
      </c>
      <c r="E36" s="7" t="s">
        <v>16</v>
      </c>
      <c r="F36" s="7" t="s">
        <v>45</v>
      </c>
    </row>
    <row r="37">
      <c r="A37" s="0" t="s">
        <v>46</v>
      </c>
      <c r="B37" s="36" t="n">
        <v>600000</v>
      </c>
      <c r="C37" s="36" t="n">
        <v>100000</v>
      </c>
      <c r="D37" s="36">
        <f>600000+100000*3</f>
      </c>
      <c r="E37" s="36">
        <f>600000+100000*5</f>
      </c>
      <c r="F37" s="39" t="s">
        <v>47</v>
      </c>
    </row>
    <row r="38">
      <c r="A38" s="0" t="s">
        <v>48</v>
      </c>
      <c r="B38" s="4" t="s">
        <v>49</v>
      </c>
      <c r="C38" s="36" t="n">
        <v>245280</v>
      </c>
      <c r="D38" s="36">
        <f>245280*3</f>
      </c>
      <c r="E38" s="36">
        <f>245280*5</f>
      </c>
      <c r="F38" s="39" t="s">
        <v>50</v>
      </c>
    </row>
    <row r="39">
      <c r="A39" s="0" t="s">
        <v>51</v>
      </c>
      <c r="B39" s="4" t="s">
        <v>49</v>
      </c>
      <c r="C39" s="36" t="n">
        <v>390000</v>
      </c>
      <c r="D39" s="36">
        <f>390000*3</f>
      </c>
      <c r="E39" s="36">
        <f>390000*5</f>
      </c>
      <c r="F39" s="39" t="s">
        <v>52</v>
      </c>
    </row>
    <row r="40">
</row>
    <row r="41">
      <c r="A41" s="3" t="s">
        <v>53</v>
      </c>
    </row>
    <row r="42">
      <c r="A42" s="7" t="s">
        <v>54</v>
      </c>
      <c r="B42" s="7" t="s">
        <v>55</v>
      </c>
      <c r="C42" s="7" t="s">
        <v>56</v>
      </c>
      <c r="D42" s="7" t="s">
        <v>57</v>
      </c>
      <c r="E42" s="7" t="s">
        <v>58</v>
      </c>
      <c r="F42" s="7" t="s">
        <v>59</v>
      </c>
    </row>
    <row r="43">
      <c r="A43" s="4" t="s">
        <v>60</v>
      </c>
      <c r="B43" s="0" t="s">
        <v>61</v>
      </c>
      <c r="C43" s="40" t="n">
        <v>5.0</v>
      </c>
      <c r="D43" s="40" t="n">
        <v>30.0</v>
      </c>
      <c r="E43" s="41" t="n">
        <v>7.173913043478261</v>
      </c>
      <c r="F43" s="39" t="s">
        <v>62</v>
      </c>
    </row>
    <row r="44">
      <c r="A44" s="4" t="s">
        <v>60</v>
      </c>
      <c r="B44" s="0" t="s">
        <v>63</v>
      </c>
      <c r="C44" s="40" t="n">
        <v>1.25</v>
      </c>
      <c r="D44" s="40" t="n">
        <v>10.0</v>
      </c>
      <c r="E44" s="41" t="n">
        <v>2.010869565217391</v>
      </c>
      <c r="F44" s="39" t="s">
        <v>64</v>
      </c>
    </row>
    <row r="45">
      <c r="A45" s="4" t="s">
        <v>60</v>
      </c>
      <c r="B45" s="0" t="s">
        <v>65</v>
      </c>
      <c r="C45" s="40" t="n">
        <v>0.25</v>
      </c>
      <c r="D45" s="40" t="n">
        <v>2.0</v>
      </c>
      <c r="E45" s="41" t="n">
        <v>0.40217391304347827</v>
      </c>
      <c r="F45" s="39" t="s">
        <v>64</v>
      </c>
    </row>
    <row r="46">
      <c r="A46" s="4" t="s">
        <v>60</v>
      </c>
      <c r="B46" s="0" t="s">
        <v>66</v>
      </c>
      <c r="C46" s="40" t="n">
        <v>1.1</v>
      </c>
      <c r="D46" s="40" t="n">
        <v>4.4</v>
      </c>
      <c r="E46" s="41" t="n">
        <v>1.3869565217391304</v>
      </c>
      <c r="F46" s="39" t="s">
        <v>67</v>
      </c>
    </row>
    <row r="47">
      <c r="A47" s="4" t="s">
        <v>68</v>
      </c>
      <c r="B47" s="0" t="s">
        <v>69</v>
      </c>
      <c r="C47" s="40" t="n">
        <v>3.5</v>
      </c>
      <c r="D47" s="40" t="n">
        <v>15.0</v>
      </c>
      <c r="E47" s="41" t="n">
        <v>4.5</v>
      </c>
      <c r="F47" s="39" t="s">
        <v>70</v>
      </c>
    </row>
    <row r="48">
      <c r="A48" s="4" t="s">
        <v>68</v>
      </c>
      <c r="B48" s="0" t="s">
        <v>71</v>
      </c>
      <c r="C48" s="40" t="n">
        <v>0.4</v>
      </c>
      <c r="D48" s="40" t="n">
        <v>1.2</v>
      </c>
      <c r="E48" s="41" t="n">
        <v>0.46956521739130436</v>
      </c>
      <c r="F48" s="39" t="s">
        <v>72</v>
      </c>
    </row>
    <row r="49">
      <c r="A49" s="4" t="s">
        <v>73</v>
      </c>
      <c r="B49" s="0" t="s">
        <v>74</v>
      </c>
      <c r="C49" s="40" t="n">
        <v>1.74</v>
      </c>
      <c r="D49" s="40" t="n">
        <v>3.48</v>
      </c>
      <c r="E49" s="41" t="n">
        <v>1.8913043478260867</v>
      </c>
      <c r="F49" s="39" t="s">
        <v>75</v>
      </c>
    </row>
    <row r="50">
      <c r="A50" s="4" t="s">
        <v>73</v>
      </c>
      <c r="B50" s="0" t="s">
        <v>76</v>
      </c>
      <c r="C50" s="40" t="n">
        <v>0.14</v>
      </c>
      <c r="D50" s="40" t="n">
        <v>0.28</v>
      </c>
      <c r="E50" s="41" t="n">
        <v>0.15217391304347827</v>
      </c>
      <c r="F50" s="39" t="s">
        <v>75</v>
      </c>
    </row>
    <row r="51">
      <c r="A51" s="4" t="s">
        <v>73</v>
      </c>
      <c r="B51" s="0" t="s">
        <v>77</v>
      </c>
      <c r="C51" s="40" t="n">
        <v>1.3</v>
      </c>
      <c r="D51" s="40" t="n">
        <v>7.8</v>
      </c>
      <c r="E51" s="41" t="n">
        <v>1.865217391304348</v>
      </c>
      <c r="F51" s="39" t="s">
        <v>75</v>
      </c>
    </row>
    <row r="52">
      <c r="A52" s="4" t="s">
        <v>78</v>
      </c>
      <c r="B52" s="0" t="s">
        <v>79</v>
      </c>
      <c r="C52" s="40" t="n">
        <v>5.0</v>
      </c>
      <c r="D52" s="40" t="n">
        <v>25.0</v>
      </c>
      <c r="E52" s="41" t="n">
        <v>6.739130434782608</v>
      </c>
      <c r="F52" s="39" t="s">
        <v>80</v>
      </c>
    </row>
    <row r="53">
      <c r="A53" s="4" t="s">
        <v>78</v>
      </c>
      <c r="B53" s="0" t="s">
        <v>81</v>
      </c>
      <c r="C53" s="40" t="n">
        <v>3.0</v>
      </c>
      <c r="D53" s="40" t="n">
        <v>15.0</v>
      </c>
      <c r="E53" s="41" t="n">
        <v>4.0434782608695645</v>
      </c>
      <c r="F53" s="39" t="s">
        <v>64</v>
      </c>
    </row>
    <row r="54">
      <c r="A54" s="4" t="s">
        <v>78</v>
      </c>
      <c r="B54" s="0" t="s">
        <v>82</v>
      </c>
      <c r="C54" s="40" t="n">
        <v>1.0</v>
      </c>
      <c r="D54" s="40" t="n">
        <v>5.0</v>
      </c>
      <c r="E54" s="41" t="n">
        <v>1.3478260869565217</v>
      </c>
      <c r="F54" s="39" t="s">
        <v>64</v>
      </c>
    </row>
  </sheetData>
  <dataValidations count="1">
    <dataValidation type="list" allowBlank="1" showErrorMessage="1" sqref="B19:B19">
      <formula1>"Silver,Gold,Platinum,Diamond"</formula1>
    </dataValidation>
  </dataValidations>
  <pageMargins left="0.75" right="0.75" top="1" bottom="1.0" header="0.5" footer="0.5"/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workbookViewId="0">
      <selection activeCell="A1" sqref="A1"/>
    </sheetView>
  </sheetViews>
  <sheetFormatPr defaultRowHeight="12.8"/>
  <cols>
    <col min="1" max="1" width="12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</cols>
  <sheetData>
    <row r="1">
      <c r="A1" s="42" t="s">
        <v>282</v>
      </c>
    </row>
    <row r="2">
      <c r="A2" s="39" t="s">
        <v>283</v>
      </c>
    </row>
    <row r="3">
</row>
    <row r="4">
      <c r="A4" s="7" t="s">
        <v>10</v>
      </c>
      <c r="B4" s="7" t="s">
        <v>275</v>
      </c>
      <c r="C4" s="7" t="s">
        <v>276</v>
      </c>
      <c r="D4" s="7" t="s">
        <v>277</v>
      </c>
      <c r="E4" s="7" t="s">
        <v>278</v>
      </c>
      <c r="F4" s="7" t="s">
        <v>279</v>
      </c>
      <c r="G4" s="7" t="s">
        <v>280</v>
      </c>
      <c r="H4" s="7" t="s">
        <v>281</v>
      </c>
    </row>
    <row r="5">
      <c r="A5" s="0" t="s">
        <v>19</v>
      </c>
      <c r="B5" s="67" t="n">
        <v>159.63502499999998</v>
      </c>
      <c r="C5" s="67" t="n">
        <v>64.595025</v>
      </c>
      <c r="D5" s="67" t="n">
        <v>52.71502500000001</v>
      </c>
      <c r="E5" s="67" t="n">
        <v>44.795025</v>
      </c>
      <c r="F5" s="67" t="n">
        <v>42.023025</v>
      </c>
      <c r="G5" s="67" t="n">
        <v>41.231025</v>
      </c>
      <c r="H5" s="67" t="n">
        <v>41.072625</v>
      </c>
    </row>
    <row r="6">
      <c r="A6" s="0" t="s">
        <v>20</v>
      </c>
      <c r="B6" s="67" t="n">
        <v>171.804303</v>
      </c>
      <c r="C6" s="67" t="n">
        <v>76.764303</v>
      </c>
      <c r="D6" s="67" t="n">
        <v>64.884303</v>
      </c>
      <c r="E6" s="67" t="n">
        <v>56.964302999999994</v>
      </c>
      <c r="F6" s="67" t="n">
        <v>54.192303</v>
      </c>
      <c r="G6" s="67" t="n">
        <v>53.400303</v>
      </c>
      <c r="H6" s="67" t="n">
        <v>53.24190300000001</v>
      </c>
    </row>
    <row r="7">
      <c r="A7" s="0" t="s">
        <v>21</v>
      </c>
      <c r="B7" s="67" t="n">
        <v>191.17835999999997</v>
      </c>
      <c r="C7" s="67" t="n">
        <v>96.13836</v>
      </c>
      <c r="D7" s="67" t="n">
        <v>84.25836</v>
      </c>
      <c r="E7" s="67" t="n">
        <v>76.33836000000001</v>
      </c>
      <c r="F7" s="67" t="n">
        <v>73.56636</v>
      </c>
      <c r="G7" s="67" t="n">
        <v>72.77435999999999</v>
      </c>
      <c r="H7" s="67" t="n">
        <v>72.61596</v>
      </c>
    </row>
    <row r="8">
      <c r="A8" s="0" t="s">
        <v>22</v>
      </c>
      <c r="B8" s="67" t="n">
        <v>206.777016</v>
      </c>
      <c r="C8" s="67" t="n">
        <v>111.73701600000001</v>
      </c>
      <c r="D8" s="67" t="n">
        <v>99.85701600000002</v>
      </c>
      <c r="E8" s="67" t="n">
        <v>91.937016</v>
      </c>
      <c r="F8" s="67" t="n">
        <v>89.165016</v>
      </c>
      <c r="G8" s="67" t="n">
        <v>88.37301600000002</v>
      </c>
      <c r="H8" s="67" t="n">
        <v>88.21461600000002</v>
      </c>
    </row>
  </sheetData>
  <pageMargins left="0.75" right="0.75" top="1" bottom="1.0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workbookViewId="0">
      <selection activeCell="A1" sqref="A1"/>
    </sheetView>
  </sheetViews>
  <sheetFormatPr defaultRowHeight="12.8"/>
  <cols>
    <col min="1" max="1" width="22" customWidth="1"/>
    <col min="2" max="2" width="12" customWidth="1"/>
    <col min="3" max="3" width="14" customWidth="1"/>
    <col min="4" max="4" width="16" customWidth="1"/>
    <col min="5" max="5" width="16" customWidth="1"/>
    <col min="6" max="6" width="18" customWidth="1"/>
    <col min="7" max="7" width="18" customWidth="1"/>
    <col min="8" max="8" width="56" customWidth="1"/>
  </cols>
  <sheetData>
    <row r="1">
      <c r="A1" s="42" t="s">
        <v>284</v>
      </c>
    </row>
    <row r="2">
</row>
    <row r="3">
      <c r="A3" s="43" t="s">
        <v>285</v>
      </c>
    </row>
    <row r="4">
      <c r="A4" s="7" t="s">
        <v>286</v>
      </c>
      <c r="B4" s="7" t="s">
        <v>287</v>
      </c>
      <c r="C4" s="7" t="s">
        <v>288</v>
      </c>
      <c r="D4" s="7" t="s">
        <v>289</v>
      </c>
      <c r="E4" s="7" t="s">
        <v>290</v>
      </c>
      <c r="F4" s="7" t="s">
        <v>291</v>
      </c>
      <c r="G4" s="7" t="s">
        <v>292</v>
      </c>
      <c r="H4" s="7" t="s">
        <v>45</v>
      </c>
    </row>
    <row r="5">
      <c r="A5" s="0" t="s">
        <v>293</v>
      </c>
      <c r="B5" s="0" t="n">
        <v>96</v>
      </c>
      <c r="C5" s="0" t="n">
        <v>148</v>
      </c>
      <c r="D5" s="36" t="n">
        <v>170000</v>
      </c>
      <c r="E5" s="36" t="n">
        <v>196000</v>
      </c>
      <c r="F5" s="36" t="n">
        <v>300000</v>
      </c>
      <c r="G5" s="0" t="s">
        <v>294</v>
      </c>
      <c r="H5" s="0" t="s">
        <v>295</v>
      </c>
    </row>
    <row r="6">
      <c r="A6" s="0" t="s">
        <v>296</v>
      </c>
      <c r="B6" s="0" t="n">
        <v>80</v>
      </c>
      <c r="C6" s="0" t="n">
        <v>989</v>
      </c>
      <c r="D6" s="36" t="n">
        <v>300000</v>
      </c>
      <c r="E6" s="36" t="n">
        <v>400000</v>
      </c>
      <c r="F6" s="0" t="s">
        <v>49</v>
      </c>
      <c r="G6" s="0" t="s">
        <v>297</v>
      </c>
      <c r="H6" s="0" t="s">
        <v>298</v>
      </c>
    </row>
    <row r="7">
      <c r="A7" s="0" t="s">
        <v>299</v>
      </c>
      <c r="B7" s="0" t="n">
        <v>141</v>
      </c>
      <c r="C7" s="0" t="n">
        <v>989</v>
      </c>
      <c r="D7" s="36" t="n">
        <v>308000</v>
      </c>
      <c r="E7" s="36" t="n">
        <v>366000</v>
      </c>
      <c r="F7" s="0" t="s">
        <v>49</v>
      </c>
      <c r="G7" s="0" t="s">
        <v>297</v>
      </c>
      <c r="H7" s="0" t="s">
        <v>300</v>
      </c>
    </row>
    <row r="8">
      <c r="A8" s="0" t="s">
        <v>301</v>
      </c>
      <c r="B8" s="0" t="n">
        <v>192</v>
      </c>
      <c r="C8" s="0" t="n">
        <v>2250</v>
      </c>
      <c r="D8" s="36" t="n">
        <v>500000</v>
      </c>
      <c r="E8" s="36" t="n">
        <v>550000</v>
      </c>
      <c r="F8" s="0" t="s">
        <v>49</v>
      </c>
      <c r="G8" s="0" t="s">
        <v>297</v>
      </c>
      <c r="H8" s="0" t="s">
        <v>302</v>
      </c>
    </row>
    <row r="9">
</row>
    <row r="10">
      <c r="A10" s="43" t="s">
        <v>303</v>
      </c>
    </row>
    <row r="11">
      <c r="A11" s="7" t="s">
        <v>54</v>
      </c>
      <c r="B11" s="7" t="s">
        <v>304</v>
      </c>
      <c r="C11" s="7" t="s">
        <v>305</v>
      </c>
      <c r="D11" s="7" t="s">
        <v>306</v>
      </c>
      <c r="E11" s="7" t="s">
        <v>307</v>
      </c>
      <c r="F11" s="7" t="s">
        <v>45</v>
      </c>
    </row>
    <row r="12">
      <c r="A12" s="0" t="s">
        <v>308</v>
      </c>
      <c r="B12" s="67" t="n">
        <v>1.75</v>
      </c>
      <c r="C12" s="67" t="n">
        <v>2.8</v>
      </c>
      <c r="D12" s="67" t="n">
        <v>3.5</v>
      </c>
      <c r="E12" s="0" t="s">
        <v>309</v>
      </c>
      <c r="F12" s="0" t="s">
        <v>310</v>
      </c>
    </row>
    <row r="13">
      <c r="A13" s="0" t="s">
        <v>311</v>
      </c>
      <c r="B13" s="67" t="n">
        <v>2.69</v>
      </c>
      <c r="C13" s="67" t="n">
        <v>3.59</v>
      </c>
      <c r="D13" s="67" t="n">
        <v>4.99</v>
      </c>
      <c r="E13" s="0" t="s">
        <v>312</v>
      </c>
      <c r="F13" s="0" t="s">
        <v>313</v>
      </c>
    </row>
    <row r="14">
      <c r="A14" s="0" t="s">
        <v>314</v>
      </c>
      <c r="B14" s="67" t="n">
        <v>2.95</v>
      </c>
      <c r="C14" s="67" t="n">
        <v>3.5</v>
      </c>
      <c r="D14" s="67" t="n">
        <v>5.5</v>
      </c>
      <c r="E14" s="0" t="s">
        <v>315</v>
      </c>
      <c r="F14" s="0" t="s">
        <v>316</v>
      </c>
    </row>
    <row r="15">
      <c r="A15" s="0" t="s">
        <v>317</v>
      </c>
      <c r="B15" s="67" t="n">
        <v>3.9</v>
      </c>
      <c r="C15" s="67" t="n">
        <v>4.29</v>
      </c>
      <c r="D15" s="0" t="s">
        <v>49</v>
      </c>
      <c r="E15" s="0" t="s">
        <v>318</v>
      </c>
      <c r="F15" s="0" t="s">
        <v>319</v>
      </c>
    </row>
    <row r="16">
      <c r="A16" s="0" t="s">
        <v>320</v>
      </c>
      <c r="B16" s="67" t="n">
        <v>3.99</v>
      </c>
      <c r="C16" s="67" t="n">
        <v>4.49</v>
      </c>
      <c r="D16" s="67" t="n">
        <v>5.49</v>
      </c>
      <c r="E16" s="0" t="s">
        <v>318</v>
      </c>
      <c r="F16" s="0" t="s">
        <v>321</v>
      </c>
    </row>
    <row r="17">
      <c r="A17" s="0" t="s">
        <v>322</v>
      </c>
      <c r="B17" s="67" t="n">
        <v>3.95</v>
      </c>
      <c r="C17" s="67" t="n">
        <v>4.54</v>
      </c>
      <c r="D17" s="67" t="n">
        <v>6.25</v>
      </c>
      <c r="E17" s="0" t="s">
        <v>318</v>
      </c>
      <c r="F17" s="0" t="s">
        <v>323</v>
      </c>
    </row>
    <row r="18">
      <c r="A18" s="0" t="s">
        <v>324</v>
      </c>
      <c r="B18" s="67" t="n">
        <v>6.16</v>
      </c>
      <c r="C18" s="67" t="n">
        <v>6.31</v>
      </c>
      <c r="D18" s="67" t="n">
        <v>8.6</v>
      </c>
      <c r="E18" s="0" t="s">
        <v>318</v>
      </c>
      <c r="F18" s="0" t="s">
        <v>325</v>
      </c>
    </row>
    <row r="19">
      <c r="A19" s="0" t="s">
        <v>326</v>
      </c>
      <c r="B19" s="67" t="n">
        <v>6.88</v>
      </c>
      <c r="C19" s="67" t="n">
        <v>4.97</v>
      </c>
      <c r="D19" s="67" t="n">
        <v>14.24</v>
      </c>
      <c r="E19" s="0" t="s">
        <v>327</v>
      </c>
      <c r="F19" s="0" t="s">
        <v>328</v>
      </c>
    </row>
    <row r="20">
      <c r="A20" s="0" t="s">
        <v>329</v>
      </c>
      <c r="B20" s="67" t="n">
        <v>12.29</v>
      </c>
      <c r="C20" s="67" t="n">
        <v>10.6</v>
      </c>
      <c r="D20" s="0" t="s">
        <v>49</v>
      </c>
      <c r="E20" s="0" t="s">
        <v>330</v>
      </c>
      <c r="F20" s="0" t="s">
        <v>331</v>
      </c>
    </row>
    <row r="21">
      <c r="A21" s="0" t="s">
        <v>332</v>
      </c>
      <c r="B21" s="0" t="s">
        <v>49</v>
      </c>
      <c r="C21" s="0" t="s">
        <v>49</v>
      </c>
      <c r="D21" s="0" t="s">
        <v>49</v>
      </c>
      <c r="E21" s="0" t="s">
        <v>333</v>
      </c>
      <c r="F21" s="0" t="s">
        <v>334</v>
      </c>
    </row>
    <row r="22">
</row>
    <row r="23">
      <c r="A23" s="43" t="s">
        <v>335</v>
      </c>
    </row>
    <row r="24">
      <c r="A24" s="0" t="s">
        <v>336</v>
      </c>
      <c r="B24" s="36" t="n">
        <v>600000</v>
      </c>
    </row>
    <row r="25">
      <c r="A25" s="0" t="s">
        <v>337</v>
      </c>
      <c r="B25" s="36" t="n">
        <v>100000</v>
      </c>
    </row>
    <row r="26">
      <c r="A26" s="0" t="s">
        <v>338</v>
      </c>
      <c r="B26" s="36" t="n">
        <v>900000</v>
      </c>
    </row>
    <row r="27">
      <c r="A27" s="0" t="s">
        <v>339</v>
      </c>
      <c r="B27" s="36" t="n">
        <v>245280</v>
      </c>
    </row>
    <row r="28">
      <c r="A28" s="0" t="s">
        <v>340</v>
      </c>
      <c r="B28" s="36" t="n">
        <v>735840</v>
      </c>
    </row>
    <row r="29">
      <c r="A29" s="0" t="s">
        <v>341</v>
      </c>
      <c r="B29" s="36" t="n">
        <v>390000</v>
      </c>
    </row>
    <row r="30">
      <c r="A30" s="0" t="s">
        <v>342</v>
      </c>
      <c r="B30" s="36" t="n">
        <v>1170000</v>
      </c>
    </row>
  </sheetData>
  <pageMargins left="0.75" right="0.75" top="1" bottom="1.0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workbookViewId="0">
      <selection activeCell="A1" sqref="A1"/>
    </sheetView>
  </sheetViews>
  <sheetFormatPr defaultRowHeight="12.8"/>
  <cols>
    <col min="1" max="1" width="44" customWidth="1"/>
    <col min="2" max="2" width="18" customWidth="1"/>
    <col min="3" max="3" width="18" customWidth="1"/>
    <col min="4" max="4" width="18" customWidth="1"/>
  </cols>
  <sheetData>
    <row r="1">
      <c r="A1" s="42" t="s">
        <v>343</v>
      </c>
    </row>
    <row r="2">
      <c r="A2" s="39" t="s">
        <v>344</v>
      </c>
    </row>
    <row r="3">
</row>
    <row r="4">
      <c r="A4" s="43" t="s">
        <v>184</v>
      </c>
    </row>
    <row r="5">
      <c r="A5" s="4" t="s">
        <v>345</v>
      </c>
      <c r="B5" s="36" t="n">
        <v>14241.07575</v>
      </c>
    </row>
    <row r="6">
      <c r="A6" s="4" t="s">
        <v>346</v>
      </c>
      <c r="B6" s="36" t="n">
        <v>600000</v>
      </c>
    </row>
    <row r="7">
      <c r="A7" s="4" t="s">
        <v>347</v>
      </c>
      <c r="B7" s="36" t="n">
        <v>100000</v>
      </c>
    </row>
    <row r="8">
      <c r="A8" s="4" t="s">
        <v>348</v>
      </c>
      <c r="B8" s="36" t="n">
        <v>245280</v>
      </c>
    </row>
    <row r="9">
</row>
    <row r="10">
      <c r="A10" s="43" t="s">
        <v>349</v>
      </c>
    </row>
    <row r="11">
      <c r="A11" s="7" t="s">
        <v>29</v>
      </c>
      <c r="B11" s="7" t="s">
        <v>350</v>
      </c>
      <c r="C11" s="7" t="s">
        <v>31</v>
      </c>
      <c r="D11" s="7" t="s">
        <v>32</v>
      </c>
    </row>
    <row r="12">
      <c r="A12" s="0" t="s">
        <v>268</v>
      </c>
      <c r="B12" s="36" t="n">
        <v>170892.90899999999</v>
      </c>
      <c r="C12" s="36" t="n">
        <v>700000</v>
      </c>
      <c r="D12" s="36" t="n">
        <v>245280</v>
      </c>
    </row>
    <row r="13">
      <c r="A13" s="0" t="s">
        <v>269</v>
      </c>
      <c r="B13" s="36" t="n">
        <v>341785.81799999997</v>
      </c>
      <c r="C13" s="36" t="n">
        <v>800000</v>
      </c>
      <c r="D13" s="36" t="n">
        <v>490560</v>
      </c>
    </row>
    <row r="14">
      <c r="A14" s="0" t="s">
        <v>270</v>
      </c>
      <c r="B14" s="36" t="n">
        <v>512678.727</v>
      </c>
      <c r="C14" s="36" t="n">
        <v>900000</v>
      </c>
      <c r="D14" s="36" t="n">
        <v>735840</v>
      </c>
    </row>
    <row r="15">
      <c r="A15" s="0" t="s">
        <v>272</v>
      </c>
      <c r="B15" s="36" t="n">
        <v>854464.545</v>
      </c>
      <c r="C15" s="36" t="n">
        <v>1100000</v>
      </c>
      <c r="D15" s="36" t="n">
        <v>1226400</v>
      </c>
    </row>
    <row r="16">
</row>
    <row r="17">
      <c r="A17" s="43" t="s">
        <v>351</v>
      </c>
    </row>
    <row r="18">
      <c r="A18" s="4" t="s">
        <v>352</v>
      </c>
      <c r="B18" s="36" t="n">
        <v>512678.727</v>
      </c>
    </row>
    <row r="19">
      <c r="A19" s="4" t="s">
        <v>353</v>
      </c>
      <c r="B19" s="36" t="n">
        <v>900000</v>
      </c>
    </row>
    <row r="20">
      <c r="A20" s="4" t="s">
        <v>354</v>
      </c>
      <c r="B20" s="36" t="n">
        <v>735840</v>
      </c>
    </row>
    <row r="21">
      <c r="A21" s="4" t="s">
        <v>355</v>
      </c>
      <c r="B21" s="36" t="n">
        <v>387321.273</v>
      </c>
    </row>
    <row r="22">
      <c r="A22" s="4" t="s">
        <v>356</v>
      </c>
      <c r="B22" s="36" t="n">
        <v>223161.273</v>
      </c>
    </row>
    <row r="23">
      <c r="A23" s="4" t="s">
        <v>357</v>
      </c>
      <c r="B23" s="0" t="s">
        <v>358</v>
      </c>
    </row>
  </sheetData>
  <pageMargins left="0.75" right="0.75" top="1" bottom="1.0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workbookViewId="0">
      <selection activeCell="A1" sqref="A1"/>
    </sheetView>
  </sheetViews>
  <sheetFormatPr defaultRowHeight="12.8"/>
  <cols>
    <col min="1" max="1" width="52" customWidth="1"/>
    <col min="2" max="2" width="70" customWidth="1"/>
  </cols>
  <sheetData>
    <row r="1">
      <c r="A1" s="42" t="s">
        <v>359</v>
      </c>
    </row>
    <row r="2">
</row>
    <row r="3">
      <c r="A3" s="43" t="s">
        <v>360</v>
      </c>
    </row>
    <row r="4">
      <c r="A4" s="0" t="s">
        <v>361</v>
      </c>
      <c r="B4" s="0" t="s">
        <v>362</v>
      </c>
    </row>
    <row r="5">
      <c r="A5" s="0" t="s">
        <v>363</v>
      </c>
      <c r="B5" s="0" t="s">
        <v>364</v>
      </c>
    </row>
    <row r="6">
      <c r="A6" s="0" t="s">
        <v>365</v>
      </c>
      <c r="B6" s="0" t="s">
        <v>366</v>
      </c>
    </row>
    <row r="7">
      <c r="A7" s="0" t="s">
        <v>367</v>
      </c>
      <c r="B7" s="0" t="s">
        <v>368</v>
      </c>
    </row>
    <row r="8">
</row>
    <row r="9">
      <c r="A9" s="43" t="s">
        <v>369</v>
      </c>
    </row>
    <row r="10">
      <c r="A10" s="4" t="s">
        <v>370</v>
      </c>
      <c r="B10" s="0" t="s">
        <v>371</v>
      </c>
    </row>
    <row r="11">
      <c r="A11" s="4" t="s">
        <v>372</v>
      </c>
      <c r="B11" s="0" t="s">
        <v>373</v>
      </c>
    </row>
    <row r="12">
      <c r="A12" s="4" t="s">
        <v>374</v>
      </c>
      <c r="B12" s="0" t="s">
        <v>375</v>
      </c>
    </row>
    <row r="13">
</row>
    <row r="14">
      <c r="A14" s="43" t="s">
        <v>376</v>
      </c>
    </row>
    <row r="15">
      <c r="A15" s="0" t="s">
        <v>377</v>
      </c>
      <c r="B15" s="66" t="n">
        <v>0.7</v>
      </c>
    </row>
    <row r="16">
      <c r="A16" s="4" t="s">
        <v>378</v>
      </c>
      <c r="B16" s="62" t="n">
        <v>0.1</v>
      </c>
    </row>
    <row r="17">
      <c r="A17" s="4" t="s">
        <v>379</v>
      </c>
      <c r="B17" s="62" t="n">
        <v>0.5</v>
      </c>
    </row>
    <row r="18">
      <c r="A18" s="4" t="s">
        <v>380</v>
      </c>
      <c r="B18" s="62" t="n">
        <v>0.1</v>
      </c>
    </row>
    <row r="19">
</row>
    <row r="20">
      <c r="A20" s="43" t="s">
        <v>381</v>
      </c>
    </row>
    <row r="21">
      <c r="A21" s="0" t="s">
        <v>382</v>
      </c>
      <c r="B21" s="60" t="n">
        <v>3000</v>
      </c>
    </row>
    <row r="22">
      <c r="A22" s="0" t="s">
        <v>383</v>
      </c>
      <c r="B22" s="60" t="n">
        <v>300</v>
      </c>
    </row>
    <row r="23">
      <c r="A23" s="0" t="s">
        <v>384</v>
      </c>
      <c r="B23" s="60" t="n">
        <v>10500</v>
      </c>
    </row>
    <row r="24">
      <c r="A24" s="0" t="s">
        <v>385</v>
      </c>
      <c r="B24" s="60" t="n">
        <v>1000</v>
      </c>
    </row>
    <row r="25">
      <c r="A25" s="0" t="s">
        <v>386</v>
      </c>
      <c r="B25" s="36" t="n">
        <v>990</v>
      </c>
    </row>
    <row r="26">
</row>
    <row r="27">
      <c r="A27" s="43" t="s">
        <v>387</v>
      </c>
    </row>
    <row r="28">
      <c r="A28" s="4" t="s">
        <v>388</v>
      </c>
      <c r="B28" s="0" t="s">
        <v>389</v>
      </c>
    </row>
    <row r="29">
      <c r="A29" s="4" t="s">
        <v>390</v>
      </c>
      <c r="B29" s="0" t="s">
        <v>391</v>
      </c>
    </row>
    <row r="30">
      <c r="A30" s="4" t="s">
        <v>148</v>
      </c>
      <c r="B30" s="0" t="s">
        <v>392</v>
      </c>
    </row>
    <row r="31">
</row>
    <row r="32">
      <c r="A32" s="39" t="s">
        <v>393</v>
      </c>
    </row>
  </sheetData>
  <pageMargins left="0.75" right="0.75" top="1" bottom="1.0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workbookViewId="0">
      <selection activeCell="A1" sqref="A1"/>
    </sheetView>
  </sheetViews>
  <sheetFormatPr defaultRowHeight="12.8"/>
  <cols>
    <col min="1" max="1" width="18" customWidth="1"/>
    <col min="2" max="2" width="14" customWidth="1"/>
    <col min="3" max="3" width="14" customWidth="1"/>
    <col min="4" max="4" width="14" customWidth="1"/>
    <col min="5" max="5" width="14" customWidth="1"/>
    <col min="6" max="6" width="14" customWidth="1"/>
    <col min="7" max="7" width="14" customWidth="1"/>
  </cols>
  <sheetData>
    <row r="1">
      <c r="A1" s="42" t="s">
        <v>83</v>
      </c>
    </row>
    <row r="2">
      <c r="A2" s="39" t="s">
        <v>84</v>
      </c>
    </row>
    <row r="3">
</row>
    <row r="4">
      <c r="A4" s="43" t="s">
        <v>85</v>
      </c>
    </row>
    <row r="5">
      <c r="A5" s="39" t="s">
        <v>86</v>
      </c>
    </row>
    <row r="6">
      <c r="A6" s="7" t="s">
        <v>87</v>
      </c>
      <c r="B6" s="7" t="s">
        <v>88</v>
      </c>
      <c r="C6" s="7" t="s">
        <v>89</v>
      </c>
      <c r="D6" s="7" t="s">
        <v>90</v>
      </c>
      <c r="E6" s="7" t="s">
        <v>91</v>
      </c>
      <c r="F6" s="7" t="s">
        <v>92</v>
      </c>
      <c r="G6" s="7" t="s">
        <v>93</v>
      </c>
    </row>
    <row r="7">
      <c r="A7" s="44" t="s">
        <v>91</v>
      </c>
      <c r="B7" s="45" t="s">
        <v>94</v>
      </c>
      <c r="C7" s="46" t="s">
        <v>95</v>
      </c>
      <c r="D7" s="47" t="s">
        <v>96</v>
      </c>
      <c r="E7" s="48" t="s">
        <v>97</v>
      </c>
      <c r="F7" s="49" t="s">
        <v>98</v>
      </c>
      <c r="G7" s="50" t="s">
        <v>99</v>
      </c>
    </row>
    <row r="8">
      <c r="A8" s="44" t="s">
        <v>90</v>
      </c>
      <c r="B8" s="51" t="s">
        <v>100</v>
      </c>
      <c r="C8" s="52" t="s">
        <v>101</v>
      </c>
      <c r="D8" s="53" t="s">
        <v>102</v>
      </c>
      <c r="E8" s="47" t="s">
        <v>96</v>
      </c>
      <c r="F8" s="54" t="s">
        <v>103</v>
      </c>
      <c r="G8" s="55" t="s">
        <v>104</v>
      </c>
    </row>
    <row r="9">
      <c r="A9" s="44" t="s">
        <v>105</v>
      </c>
      <c r="B9" s="51" t="s">
        <v>106</v>
      </c>
      <c r="C9" s="45" t="s">
        <v>107</v>
      </c>
      <c r="D9" s="46" t="s">
        <v>108</v>
      </c>
      <c r="E9" s="53" t="s">
        <v>102</v>
      </c>
      <c r="F9" s="56" t="s">
        <v>109</v>
      </c>
      <c r="G9" s="49" t="s">
        <v>110</v>
      </c>
    </row>
    <row r="10">
      <c r="A10" s="44" t="s">
        <v>89</v>
      </c>
      <c r="B10" s="51" t="s">
        <v>111</v>
      </c>
      <c r="C10" s="45" t="s">
        <v>94</v>
      </c>
      <c r="D10" s="52" t="s">
        <v>101</v>
      </c>
      <c r="E10" s="46" t="s">
        <v>95</v>
      </c>
      <c r="F10" s="57" t="s">
        <v>112</v>
      </c>
      <c r="G10" s="48" t="s">
        <v>97</v>
      </c>
    </row>
    <row r="11">
      <c r="A11" s="44" t="s">
        <v>113</v>
      </c>
      <c r="B11" s="51" t="s">
        <v>111</v>
      </c>
      <c r="C11" s="51" t="s">
        <v>106</v>
      </c>
      <c r="D11" s="45" t="s">
        <v>114</v>
      </c>
      <c r="E11" s="45" t="s">
        <v>107</v>
      </c>
      <c r="F11" s="52" t="s">
        <v>115</v>
      </c>
      <c r="G11" s="53" t="s">
        <v>102</v>
      </c>
    </row>
    <row r="12">
      <c r="A12" s="44" t="s">
        <v>116</v>
      </c>
      <c r="B12" s="51" t="s">
        <v>111</v>
      </c>
      <c r="C12" s="51" t="s">
        <v>111</v>
      </c>
      <c r="D12" s="51" t="s">
        <v>106</v>
      </c>
      <c r="E12" s="51" t="s">
        <v>100</v>
      </c>
      <c r="F12" s="45" t="s">
        <v>117</v>
      </c>
      <c r="G12" s="52" t="s">
        <v>101</v>
      </c>
    </row>
    <row r="13">
</row>
    <row r="14">
      <c r="A14" s="43" t="s">
        <v>118</v>
      </c>
    </row>
    <row r="15">
      <c r="A15" s="39" t="s">
        <v>119</v>
      </c>
    </row>
    <row r="16">
      <c r="A16" s="39" t="s">
        <v>120</v>
      </c>
    </row>
    <row r="17">
      <c r="A17" s="7" t="s">
        <v>87</v>
      </c>
      <c r="B17" s="7" t="s">
        <v>88</v>
      </c>
      <c r="C17" s="7" t="s">
        <v>89</v>
      </c>
      <c r="D17" s="7" t="s">
        <v>90</v>
      </c>
      <c r="E17" s="7" t="s">
        <v>91</v>
      </c>
      <c r="F17" s="7" t="s">
        <v>92</v>
      </c>
      <c r="G17" s="7" t="s">
        <v>93</v>
      </c>
    </row>
    <row r="18">
      <c r="A18" s="44" t="s">
        <v>91</v>
      </c>
      <c r="B18" s="54" t="s">
        <v>121</v>
      </c>
      <c r="C18" s="54" t="s">
        <v>121</v>
      </c>
      <c r="D18" s="54" t="s">
        <v>121</v>
      </c>
      <c r="E18" s="49" t="s">
        <v>122</v>
      </c>
      <c r="F18" s="55" t="s">
        <v>123</v>
      </c>
      <c r="G18" s="58" t="s">
        <v>124</v>
      </c>
    </row>
    <row r="19">
      <c r="A19" s="44" t="s">
        <v>90</v>
      </c>
      <c r="B19" s="54" t="s">
        <v>121</v>
      </c>
      <c r="C19" s="54" t="s">
        <v>121</v>
      </c>
      <c r="D19" s="54" t="s">
        <v>121</v>
      </c>
      <c r="E19" s="54" t="s">
        <v>121</v>
      </c>
      <c r="F19" s="59" t="s">
        <v>125</v>
      </c>
      <c r="G19" s="50" t="s">
        <v>126</v>
      </c>
    </row>
    <row r="20">
      <c r="A20" s="44" t="s">
        <v>105</v>
      </c>
      <c r="B20" s="54" t="s">
        <v>121</v>
      </c>
      <c r="C20" s="54" t="s">
        <v>121</v>
      </c>
      <c r="D20" s="54" t="s">
        <v>121</v>
      </c>
      <c r="E20" s="54" t="s">
        <v>121</v>
      </c>
      <c r="F20" s="54" t="s">
        <v>121</v>
      </c>
      <c r="G20" s="55" t="s">
        <v>127</v>
      </c>
    </row>
    <row r="21">
      <c r="A21" s="44" t="s">
        <v>89</v>
      </c>
      <c r="B21" s="54" t="s">
        <v>121</v>
      </c>
      <c r="C21" s="54" t="s">
        <v>121</v>
      </c>
      <c r="D21" s="54" t="s">
        <v>121</v>
      </c>
      <c r="E21" s="54" t="s">
        <v>121</v>
      </c>
      <c r="F21" s="54" t="s">
        <v>121</v>
      </c>
      <c r="G21" s="49" t="s">
        <v>122</v>
      </c>
    </row>
    <row r="22">
      <c r="A22" s="44" t="s">
        <v>113</v>
      </c>
      <c r="B22" s="54" t="s">
        <v>121</v>
      </c>
      <c r="C22" s="54" t="s">
        <v>121</v>
      </c>
      <c r="D22" s="54" t="s">
        <v>121</v>
      </c>
      <c r="E22" s="54" t="s">
        <v>121</v>
      </c>
      <c r="F22" s="54" t="s">
        <v>121</v>
      </c>
      <c r="G22" s="54" t="s">
        <v>121</v>
      </c>
    </row>
    <row r="23">
      <c r="A23" s="44" t="s">
        <v>116</v>
      </c>
      <c r="B23" s="54" t="s">
        <v>121</v>
      </c>
      <c r="C23" s="54" t="s">
        <v>121</v>
      </c>
      <c r="D23" s="54" t="s">
        <v>121</v>
      </c>
      <c r="E23" s="54" t="s">
        <v>121</v>
      </c>
      <c r="F23" s="54" t="s">
        <v>121</v>
      </c>
      <c r="G23" s="54" t="s">
        <v>121</v>
      </c>
    </row>
    <row r="24">
</row>
    <row r="25">
      <c r="A25" s="43" t="s">
        <v>128</v>
      </c>
    </row>
    <row r="26">
      <c r="A26" s="39" t="s">
        <v>129</v>
      </c>
    </row>
    <row r="27">
      <c r="A27" s="39" t="s">
        <v>130</v>
      </c>
    </row>
    <row r="28">
      <c r="A28" s="7" t="s">
        <v>87</v>
      </c>
      <c r="B28" s="7" t="s">
        <v>88</v>
      </c>
      <c r="C28" s="7" t="s">
        <v>89</v>
      </c>
      <c r="D28" s="7" t="s">
        <v>90</v>
      </c>
      <c r="E28" s="7" t="s">
        <v>91</v>
      </c>
      <c r="F28" s="7" t="s">
        <v>92</v>
      </c>
      <c r="G28" s="7" t="s">
        <v>93</v>
      </c>
    </row>
    <row r="29">
      <c r="A29" s="44" t="s">
        <v>91</v>
      </c>
      <c r="B29" s="48" t="s">
        <v>131</v>
      </c>
      <c r="C29" s="48" t="s">
        <v>131</v>
      </c>
      <c r="D29" s="48" t="s">
        <v>131</v>
      </c>
      <c r="E29" s="48" t="s">
        <v>131</v>
      </c>
      <c r="F29" s="48" t="s">
        <v>131</v>
      </c>
      <c r="G29" s="49" t="s">
        <v>132</v>
      </c>
    </row>
    <row r="30">
      <c r="A30" s="44" t="s">
        <v>90</v>
      </c>
      <c r="B30" s="48" t="s">
        <v>131</v>
      </c>
      <c r="C30" s="48" t="s">
        <v>131</v>
      </c>
      <c r="D30" s="48" t="s">
        <v>131</v>
      </c>
      <c r="E30" s="48" t="s">
        <v>131</v>
      </c>
      <c r="F30" s="48" t="s">
        <v>131</v>
      </c>
      <c r="G30" s="48" t="s">
        <v>131</v>
      </c>
    </row>
    <row r="31">
      <c r="A31" s="44" t="s">
        <v>105</v>
      </c>
      <c r="B31" s="48" t="s">
        <v>131</v>
      </c>
      <c r="C31" s="48" t="s">
        <v>131</v>
      </c>
      <c r="D31" s="48" t="s">
        <v>131</v>
      </c>
      <c r="E31" s="48" t="s">
        <v>131</v>
      </c>
      <c r="F31" s="48" t="s">
        <v>131</v>
      </c>
      <c r="G31" s="48" t="s">
        <v>131</v>
      </c>
    </row>
    <row r="32">
      <c r="A32" s="44" t="s">
        <v>89</v>
      </c>
      <c r="B32" s="48" t="s">
        <v>131</v>
      </c>
      <c r="C32" s="48" t="s">
        <v>131</v>
      </c>
      <c r="D32" s="48" t="s">
        <v>131</v>
      </c>
      <c r="E32" s="48" t="s">
        <v>131</v>
      </c>
      <c r="F32" s="48" t="s">
        <v>131</v>
      </c>
      <c r="G32" s="48" t="s">
        <v>131</v>
      </c>
    </row>
    <row r="33">
      <c r="A33" s="44" t="s">
        <v>113</v>
      </c>
      <c r="B33" s="48" t="s">
        <v>131</v>
      </c>
      <c r="C33" s="48" t="s">
        <v>131</v>
      </c>
      <c r="D33" s="48" t="s">
        <v>131</v>
      </c>
      <c r="E33" s="48" t="s">
        <v>131</v>
      </c>
      <c r="F33" s="48" t="s">
        <v>131</v>
      </c>
      <c r="G33" s="48" t="s">
        <v>131</v>
      </c>
    </row>
    <row r="34">
      <c r="A34" s="44" t="s">
        <v>116</v>
      </c>
      <c r="B34" s="48" t="s">
        <v>131</v>
      </c>
      <c r="C34" s="48" t="s">
        <v>131</v>
      </c>
      <c r="D34" s="48" t="s">
        <v>131</v>
      </c>
      <c r="E34" s="48" t="s">
        <v>131</v>
      </c>
      <c r="F34" s="48" t="s">
        <v>131</v>
      </c>
      <c r="G34" s="48" t="s">
        <v>131</v>
      </c>
    </row>
    <row r="35">
</row>
    <row r="36">
      <c r="A36" s="43" t="s">
        <v>133</v>
      </c>
    </row>
    <row r="37">
      <c r="A37" s="39" t="s">
        <v>52</v>
      </c>
    </row>
    <row r="38">
      <c r="A38" s="39" t="s">
        <v>134</v>
      </c>
    </row>
    <row r="39">
      <c r="A39" s="7" t="s">
        <v>87</v>
      </c>
      <c r="B39" s="7" t="s">
        <v>88</v>
      </c>
      <c r="C39" s="7" t="s">
        <v>89</v>
      </c>
      <c r="D39" s="7" t="s">
        <v>90</v>
      </c>
      <c r="E39" s="7" t="s">
        <v>91</v>
      </c>
      <c r="F39" s="7" t="s">
        <v>92</v>
      </c>
      <c r="G39" s="7" t="s">
        <v>93</v>
      </c>
    </row>
    <row r="40">
      <c r="A40" s="44" t="s">
        <v>91</v>
      </c>
      <c r="B40" s="54" t="s">
        <v>135</v>
      </c>
      <c r="C40" s="54" t="s">
        <v>135</v>
      </c>
      <c r="D40" s="54" t="s">
        <v>135</v>
      </c>
      <c r="E40" s="54" t="s">
        <v>135</v>
      </c>
      <c r="F40" s="54" t="s">
        <v>135</v>
      </c>
      <c r="G40" s="49" t="s">
        <v>136</v>
      </c>
    </row>
    <row r="41">
      <c r="A41" s="44" t="s">
        <v>90</v>
      </c>
      <c r="B41" s="54" t="s">
        <v>135</v>
      </c>
      <c r="C41" s="54" t="s">
        <v>135</v>
      </c>
      <c r="D41" s="54" t="s">
        <v>135</v>
      </c>
      <c r="E41" s="54" t="s">
        <v>135</v>
      </c>
      <c r="F41" s="54" t="s">
        <v>135</v>
      </c>
      <c r="G41" s="54" t="s">
        <v>135</v>
      </c>
    </row>
    <row r="42">
      <c r="A42" s="44" t="s">
        <v>105</v>
      </c>
      <c r="B42" s="54" t="s">
        <v>135</v>
      </c>
      <c r="C42" s="54" t="s">
        <v>135</v>
      </c>
      <c r="D42" s="54" t="s">
        <v>135</v>
      </c>
      <c r="E42" s="54" t="s">
        <v>135</v>
      </c>
      <c r="F42" s="54" t="s">
        <v>135</v>
      </c>
      <c r="G42" s="54" t="s">
        <v>135</v>
      </c>
    </row>
    <row r="43">
      <c r="A43" s="44" t="s">
        <v>89</v>
      </c>
      <c r="B43" s="54" t="s">
        <v>135</v>
      </c>
      <c r="C43" s="54" t="s">
        <v>135</v>
      </c>
      <c r="D43" s="54" t="s">
        <v>135</v>
      </c>
      <c r="E43" s="54" t="s">
        <v>135</v>
      </c>
      <c r="F43" s="54" t="s">
        <v>135</v>
      </c>
      <c r="G43" s="54" t="s">
        <v>135</v>
      </c>
    </row>
    <row r="44">
      <c r="A44" s="44" t="s">
        <v>113</v>
      </c>
      <c r="B44" s="54" t="s">
        <v>135</v>
      </c>
      <c r="C44" s="54" t="s">
        <v>135</v>
      </c>
      <c r="D44" s="54" t="s">
        <v>135</v>
      </c>
      <c r="E44" s="54" t="s">
        <v>135</v>
      </c>
      <c r="F44" s="54" t="s">
        <v>135</v>
      </c>
      <c r="G44" s="54" t="s">
        <v>135</v>
      </c>
    </row>
    <row r="45">
      <c r="A45" s="44" t="s">
        <v>116</v>
      </c>
      <c r="B45" s="54" t="s">
        <v>135</v>
      </c>
      <c r="C45" s="54" t="s">
        <v>135</v>
      </c>
      <c r="D45" s="54" t="s">
        <v>135</v>
      </c>
      <c r="E45" s="54" t="s">
        <v>135</v>
      </c>
      <c r="F45" s="54" t="s">
        <v>135</v>
      </c>
      <c r="G45" s="54" t="s">
        <v>135</v>
      </c>
    </row>
    <row r="46">
</row>
    <row r="47">
</row>
    <row r="48">
      <c r="A48" s="43" t="s">
        <v>137</v>
      </c>
    </row>
    <row r="49">
      <c r="A49" s="0" t="s">
        <v>138</v>
      </c>
      <c r="B49" s="0" t="s">
        <v>139</v>
      </c>
    </row>
    <row r="50">
      <c r="A50" s="0" t="s">
        <v>140</v>
      </c>
      <c r="B50" s="0" t="s">
        <v>141</v>
      </c>
    </row>
    <row r="51">
      <c r="A51" s="0" t="s">
        <v>142</v>
      </c>
      <c r="B51" s="60" t="n">
        <v>11500</v>
      </c>
    </row>
  </sheetData>
  <pageMargins left="0.75" right="0.75" top="1" bottom="1.0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workbookViewId="0">
      <selection activeCell="A1" sqref="A1"/>
    </sheetView>
  </sheetViews>
  <sheetFormatPr defaultRowHeight="12.8"/>
  <cols>
    <col min="1" max="1" width="32" customWidth="1"/>
    <col min="2" max="2" width="90" customWidth="1"/>
  </cols>
  <sheetData>
    <row r="1">
      <c r="A1" s="61" t="s">
        <v>143</v>
      </c>
    </row>
    <row r="2">
      <c r="A2" s="39" t="s">
        <v>144</v>
      </c>
    </row>
    <row r="3">
</row>
    <row r="4">
      <c r="A4" s="43" t="s">
        <v>145</v>
      </c>
    </row>
    <row r="5">
      <c r="A5" s="4" t="s">
        <v>146</v>
      </c>
      <c r="B5" s="0" t="s">
        <v>147</v>
      </c>
    </row>
    <row r="6">
      <c r="A6" s="4" t="s">
        <v>148</v>
      </c>
      <c r="B6" s="0" t="s">
        <v>149</v>
      </c>
    </row>
    <row r="7">
      <c r="A7" s="4" t="s">
        <v>150</v>
      </c>
      <c r="B7" s="0" t="s">
        <v>151</v>
      </c>
    </row>
    <row r="8">
</row>
    <row r="9">
      <c r="A9" s="43" t="s">
        <v>152</v>
      </c>
    </row>
    <row r="10">
      <c r="A10" s="4" t="s">
        <v>3</v>
      </c>
      <c r="B10" s="60" t="n">
        <v>3000</v>
      </c>
    </row>
    <row r="11">
      <c r="A11" s="4" t="s">
        <v>4</v>
      </c>
      <c r="B11" s="60" t="n">
        <v>300</v>
      </c>
    </row>
    <row r="12">
      <c r="A12" s="4" t="s">
        <v>5</v>
      </c>
      <c r="B12" s="60" t="n">
        <v>11500</v>
      </c>
    </row>
    <row r="13">
      <c r="A13" s="4" t="s">
        <v>153</v>
      </c>
      <c r="B13" s="60" t="n">
        <v>900000</v>
      </c>
    </row>
    <row r="14">
      <c r="A14" s="4" t="s">
        <v>154</v>
      </c>
      <c r="B14" s="62" t="n">
        <v>10.35</v>
      </c>
    </row>
    <row r="15">
</row>
    <row r="16">
      <c r="A16" s="43" t="s">
        <v>155</v>
      </c>
    </row>
    <row r="17">
      <c r="A17" s="0" t="s">
        <v>156</v>
      </c>
      <c r="B17" s="0" t="s">
        <v>157</v>
      </c>
    </row>
    <row r="18">
      <c r="A18" s="0" t="s">
        <v>158</v>
      </c>
      <c r="B18" s="0" t="s">
        <v>159</v>
      </c>
    </row>
    <row r="19">
      <c r="A19" s="0" t="s">
        <v>160</v>
      </c>
      <c r="B19" s="0" t="s">
        <v>161</v>
      </c>
    </row>
    <row r="20">
      <c r="A20" s="0" t="s">
        <v>162</v>
      </c>
      <c r="B20" s="0" t="s">
        <v>163</v>
      </c>
    </row>
    <row r="21">
      <c r="A21" s="0" t="s">
        <v>164</v>
      </c>
      <c r="B21" s="0" t="s">
        <v>165</v>
      </c>
    </row>
    <row r="22">
      <c r="A22" s="0" t="s">
        <v>166</v>
      </c>
      <c r="B22" s="0" t="s">
        <v>167</v>
      </c>
    </row>
    <row r="23">
      <c r="A23" s="0" t="s">
        <v>168</v>
      </c>
      <c r="B23" s="0" t="s">
        <v>169</v>
      </c>
    </row>
    <row r="24">
      <c r="A24" s="0" t="s">
        <v>170</v>
      </c>
      <c r="B24" s="0" t="s">
        <v>171</v>
      </c>
    </row>
    <row r="25">
      <c r="A25" s="0" t="s">
        <v>172</v>
      </c>
      <c r="B25" s="0" t="s">
        <v>173</v>
      </c>
    </row>
    <row r="26">
      <c r="A26" s="0" t="s">
        <v>174</v>
      </c>
      <c r="B26" s="0" t="s">
        <v>175</v>
      </c>
    </row>
    <row r="27">
</row>
    <row r="28">
      <c r="A28" s="43" t="s">
        <v>45</v>
      </c>
    </row>
    <row r="29">
      <c r="A29" s="4" t="s">
        <v>176</v>
      </c>
      <c r="B29" s="0" t="s">
        <v>177</v>
      </c>
    </row>
    <row r="30">
      <c r="A30" s="4" t="s">
        <v>178</v>
      </c>
      <c r="B30" s="0" t="s">
        <v>179</v>
      </c>
    </row>
    <row r="31">
      <c r="A31" s="4" t="s">
        <v>180</v>
      </c>
      <c r="B31" s="0" t="s">
        <v>181</v>
      </c>
    </row>
    <row r="32">
      <c r="A32" s="4" t="s">
        <v>148</v>
      </c>
      <c r="B32" s="0" t="s">
        <v>182</v>
      </c>
    </row>
  </sheetData>
  <pageMargins left="0.75" right="0.75" top="1" bottom="1.0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workbookViewId="0">
      <selection activeCell="A1" sqref="A1"/>
    </sheetView>
  </sheetViews>
  <sheetFormatPr defaultRowHeight="12.8"/>
  <cols>
    <col min="1" max="1" width="56" customWidth="1"/>
    <col min="2" max="2" width="22" customWidth="1"/>
  </cols>
  <sheetData>
    <row r="1">
      <c r="A1" s="42" t="s">
        <v>183</v>
      </c>
    </row>
    <row r="2">
</row>
    <row r="3">
      <c r="A3" s="43" t="s">
        <v>184</v>
      </c>
    </row>
    <row r="4">
      <c r="A4" s="4" t="s">
        <v>3</v>
      </c>
      <c r="B4" s="63" t="n">
        <v>3000</v>
      </c>
    </row>
    <row r="5">
      <c r="A5" s="4" t="s">
        <v>4</v>
      </c>
      <c r="B5" s="63" t="n">
        <v>300</v>
      </c>
    </row>
    <row r="6">
      <c r="A6" s="4" t="s">
        <v>5</v>
      </c>
      <c r="B6" s="63" t="n">
        <v>11500</v>
      </c>
    </row>
    <row r="7">
</row>
    <row r="8">
      <c r="A8" s="43" t="s">
        <v>185</v>
      </c>
    </row>
    <row r="9">
      <c r="A9" s="4" t="s">
        <v>6</v>
      </c>
      <c r="B9" s="60" t="n">
        <v>10500</v>
      </c>
    </row>
    <row r="10">
      <c r="A10" s="4" t="s">
        <v>7</v>
      </c>
      <c r="B10" s="60" t="n">
        <v>1000</v>
      </c>
    </row>
    <row r="11">
      <c r="A11" s="4" t="s">
        <v>186</v>
      </c>
      <c r="B11" s="64" t="n">
        <v>0.9130434782608695</v>
      </c>
    </row>
    <row r="12">
      <c r="A12" s="4" t="s">
        <v>187</v>
      </c>
      <c r="B12" s="64" t="n">
        <v>0.08695652173913043</v>
      </c>
    </row>
    <row r="13">
</row>
    <row r="14">
      <c r="A14" s="43" t="s">
        <v>188</v>
      </c>
    </row>
    <row r="15">
      <c r="A15" s="4" t="s">
        <v>153</v>
      </c>
      <c r="B15" s="60" t="n">
        <v>900000</v>
      </c>
    </row>
    <row r="16">
      <c r="A16" s="4" t="s">
        <v>189</v>
      </c>
      <c r="B16" s="60" t="n">
        <v>10350000000</v>
      </c>
    </row>
    <row r="17">
      <c r="A17" s="4" t="s">
        <v>154</v>
      </c>
      <c r="B17" s="65" t="n">
        <v>10.35</v>
      </c>
    </row>
    <row r="18">
      <c r="A18" s="4" t="s">
        <v>190</v>
      </c>
      <c r="B18" s="60" t="n">
        <v>9450000000</v>
      </c>
    </row>
    <row r="19">
      <c r="A19" s="4" t="s">
        <v>191</v>
      </c>
      <c r="B19" s="60" t="n">
        <v>900000000</v>
      </c>
    </row>
    <row r="20">
</row>
    <row r="21">
      <c r="A21" s="43" t="s">
        <v>192</v>
      </c>
    </row>
    <row r="22">
      <c r="A22" s="4" t="s">
        <v>193</v>
      </c>
      <c r="B22" s="36" t="n">
        <v>990</v>
      </c>
    </row>
    <row r="23">
      <c r="A23" s="4" t="s">
        <v>194</v>
      </c>
      <c r="B23" s="36" t="n">
        <v>35640</v>
      </c>
    </row>
  </sheetData>
  <pageMargins left="0.75" right="0.75" top="1" bottom="1.0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workbookViewId="0">
      <selection activeCell="A1" sqref="A1"/>
    </sheetView>
  </sheetViews>
  <sheetFormatPr defaultRowHeight="12.8"/>
  <cols>
    <col min="1" max="1" width="28" customWidth="1"/>
    <col min="2" max="2" width="22" customWidth="1"/>
    <col min="3" max="3" width="14" customWidth="1"/>
    <col min="4" max="4" width="14" customWidth="1"/>
    <col min="5" max="5" width="28" customWidth="1"/>
    <col min="6" max="6" width="32" customWidth="1"/>
    <col min="7" max="7" width="32" customWidth="1"/>
  </cols>
  <sheetData>
    <row r="1">
      <c r="A1" s="42" t="s">
        <v>195</v>
      </c>
    </row>
    <row r="2">
      <c r="A2" s="39" t="s">
        <v>196</v>
      </c>
    </row>
    <row r="3">
</row>
    <row r="4">
      <c r="A4" s="7" t="s">
        <v>54</v>
      </c>
      <c r="B4" s="7" t="s">
        <v>55</v>
      </c>
      <c r="C4" s="7" t="s">
        <v>197</v>
      </c>
      <c r="D4" s="7" t="s">
        <v>198</v>
      </c>
      <c r="E4" s="7" t="s">
        <v>199</v>
      </c>
      <c r="F4" s="7" t="s">
        <v>59</v>
      </c>
      <c r="G4" s="7" t="s">
        <v>200</v>
      </c>
    </row>
    <row r="5">
      <c r="A5" s="0" t="s">
        <v>60</v>
      </c>
      <c r="B5" s="0" t="s">
        <v>61</v>
      </c>
      <c r="C5" s="40" t="n">
        <v>5.0</v>
      </c>
      <c r="D5" s="40" t="n">
        <v>30.0</v>
      </c>
      <c r="E5" s="40" t="n">
        <v>7.173913043478261</v>
      </c>
      <c r="F5" s="0" t="s">
        <v>62</v>
      </c>
      <c r="G5" s="0" t="s">
        <v>201</v>
      </c>
    </row>
    <row r="6">
      <c r="A6" s="0" t="s">
        <v>60</v>
      </c>
      <c r="B6" s="0" t="s">
        <v>63</v>
      </c>
      <c r="C6" s="40" t="n">
        <v>1.25</v>
      </c>
      <c r="D6" s="40" t="n">
        <v>10.0</v>
      </c>
      <c r="E6" s="40" t="n">
        <v>2.010869565217391</v>
      </c>
      <c r="F6" s="0" t="s">
        <v>64</v>
      </c>
      <c r="G6" s="0" t="s">
        <v>202</v>
      </c>
    </row>
    <row r="7">
      <c r="A7" s="0" t="s">
        <v>60</v>
      </c>
      <c r="B7" s="0" t="s">
        <v>65</v>
      </c>
      <c r="C7" s="40" t="n">
        <v>0.25</v>
      </c>
      <c r="D7" s="40" t="n">
        <v>2.0</v>
      </c>
      <c r="E7" s="40" t="n">
        <v>0.40217391304347827</v>
      </c>
      <c r="F7" s="0" t="s">
        <v>64</v>
      </c>
      <c r="G7" s="0" t="s">
        <v>203</v>
      </c>
    </row>
    <row r="8">
      <c r="A8" s="0" t="s">
        <v>60</v>
      </c>
      <c r="B8" s="0" t="s">
        <v>66</v>
      </c>
      <c r="C8" s="40" t="n">
        <v>1.1</v>
      </c>
      <c r="D8" s="40" t="n">
        <v>4.4</v>
      </c>
      <c r="E8" s="40" t="n">
        <v>1.3869565217391304</v>
      </c>
      <c r="F8" s="0" t="s">
        <v>67</v>
      </c>
      <c r="G8" s="0" t="s">
        <v>204</v>
      </c>
    </row>
    <row r="9">
      <c r="A9" s="0" t="s">
        <v>68</v>
      </c>
      <c r="B9" s="0" t="s">
        <v>69</v>
      </c>
      <c r="C9" s="40" t="n">
        <v>3.5</v>
      </c>
      <c r="D9" s="40" t="n">
        <v>15.0</v>
      </c>
      <c r="E9" s="40" t="n">
        <v>4.5</v>
      </c>
      <c r="F9" s="0" t="s">
        <v>70</v>
      </c>
      <c r="G9" s="0" t="s">
        <v>205</v>
      </c>
    </row>
    <row r="10">
      <c r="A10" s="0" t="s">
        <v>68</v>
      </c>
      <c r="B10" s="0" t="s">
        <v>71</v>
      </c>
      <c r="C10" s="40" t="n">
        <v>0.4</v>
      </c>
      <c r="D10" s="40" t="n">
        <v>1.2</v>
      </c>
      <c r="E10" s="40" t="n">
        <v>0.46956521739130436</v>
      </c>
      <c r="F10" s="0" t="s">
        <v>72</v>
      </c>
      <c r="G10" s="0" t="s">
        <v>206</v>
      </c>
    </row>
    <row r="11">
      <c r="A11" s="0" t="s">
        <v>73</v>
      </c>
      <c r="B11" s="0" t="s">
        <v>74</v>
      </c>
      <c r="C11" s="40" t="n">
        <v>1.74</v>
      </c>
      <c r="D11" s="40" t="n">
        <v>3.48</v>
      </c>
      <c r="E11" s="40" t="n">
        <v>1.8913043478260867</v>
      </c>
      <c r="F11" s="0" t="s">
        <v>75</v>
      </c>
      <c r="G11" s="0" t="s">
        <v>207</v>
      </c>
    </row>
    <row r="12">
      <c r="A12" s="0" t="s">
        <v>73</v>
      </c>
      <c r="B12" s="0" t="s">
        <v>76</v>
      </c>
      <c r="C12" s="40" t="n">
        <v>0.14</v>
      </c>
      <c r="D12" s="40" t="n">
        <v>0.28</v>
      </c>
      <c r="E12" s="40" t="n">
        <v>0.15217391304347827</v>
      </c>
      <c r="F12" s="0" t="s">
        <v>75</v>
      </c>
      <c r="G12" s="0" t="s">
        <v>208</v>
      </c>
    </row>
    <row r="13">
      <c r="A13" s="0" t="s">
        <v>73</v>
      </c>
      <c r="B13" s="0" t="s">
        <v>77</v>
      </c>
      <c r="C13" s="40" t="n">
        <v>1.3</v>
      </c>
      <c r="D13" s="40" t="n">
        <v>7.8</v>
      </c>
      <c r="E13" s="40" t="n">
        <v>1.865217391304348</v>
      </c>
      <c r="F13" s="0" t="s">
        <v>75</v>
      </c>
      <c r="G13" s="0" t="s">
        <v>209</v>
      </c>
    </row>
    <row r="14">
      <c r="A14" s="0" t="s">
        <v>78</v>
      </c>
      <c r="B14" s="0" t="s">
        <v>79</v>
      </c>
      <c r="C14" s="40" t="n">
        <v>5.0</v>
      </c>
      <c r="D14" s="40" t="n">
        <v>25.0</v>
      </c>
      <c r="E14" s="40" t="n">
        <v>6.739130434782608</v>
      </c>
      <c r="F14" s="0" t="s">
        <v>80</v>
      </c>
      <c r="G14" s="0" t="s">
        <v>210</v>
      </c>
    </row>
    <row r="15">
      <c r="A15" s="0" t="s">
        <v>78</v>
      </c>
      <c r="B15" s="0" t="s">
        <v>81</v>
      </c>
      <c r="C15" s="40" t="n">
        <v>3.0</v>
      </c>
      <c r="D15" s="40" t="n">
        <v>15.0</v>
      </c>
      <c r="E15" s="40" t="n">
        <v>4.0434782608695645</v>
      </c>
      <c r="F15" s="0" t="s">
        <v>64</v>
      </c>
      <c r="G15" s="0" t="s">
        <v>211</v>
      </c>
    </row>
    <row r="16">
      <c r="A16" s="0" t="s">
        <v>78</v>
      </c>
      <c r="B16" s="0" t="s">
        <v>82</v>
      </c>
      <c r="C16" s="40" t="n">
        <v>1.0</v>
      </c>
      <c r="D16" s="40" t="n">
        <v>5.0</v>
      </c>
      <c r="E16" s="40" t="n">
        <v>1.3478260869565217</v>
      </c>
      <c r="F16" s="0" t="s">
        <v>64</v>
      </c>
      <c r="G16" s="0" t="s">
        <v>212</v>
      </c>
    </row>
  </sheetData>
  <pageMargins left="0.75" right="0.75" top="1" bottom="1.0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workbookViewId="0">
      <selection activeCell="A1" sqref="A1"/>
    </sheetView>
  </sheetViews>
  <sheetFormatPr defaultRowHeight="12.8"/>
  <cols>
    <col min="1" max="1" width="14" customWidth="1"/>
    <col min="2" max="2" width="28" customWidth="1"/>
    <col min="3" max="3" width="56" customWidth="1"/>
    <col min="4" max="4" width="8" customWidth="1"/>
    <col min="5" max="5" width="22" customWidth="1"/>
    <col min="6" max="6" width="22" customWidth="1"/>
    <col min="7" max="7" width="8" customWidth="1"/>
    <col min="8" max="8" width="12" customWidth="1"/>
    <col min="9" max="9" width="12" customWidth="1"/>
    <col min="10" max="10" width="36" customWidth="1"/>
  </cols>
  <sheetData>
    <row r="1">
      <c r="A1" s="42" t="s">
        <v>213</v>
      </c>
    </row>
    <row r="2">
      <c r="A2" s="39" t="s">
        <v>214</v>
      </c>
    </row>
    <row r="3">
</row>
    <row r="4">
      <c r="A4" s="7" t="s">
        <v>10</v>
      </c>
      <c r="B4" s="7" t="s">
        <v>215</v>
      </c>
      <c r="C4" s="7" t="s">
        <v>216</v>
      </c>
      <c r="D4" s="7" t="s">
        <v>217</v>
      </c>
      <c r="E4" s="7" t="s">
        <v>55</v>
      </c>
      <c r="F4" s="7" t="s">
        <v>218</v>
      </c>
      <c r="G4" s="7" t="s">
        <v>219</v>
      </c>
      <c r="H4" s="7" t="s">
        <v>197</v>
      </c>
      <c r="I4" s="7" t="s">
        <v>198</v>
      </c>
      <c r="J4" s="7" t="s">
        <v>220</v>
      </c>
    </row>
    <row r="5">
      <c r="A5" s="0" t="s">
        <v>19</v>
      </c>
      <c r="B5" s="0" t="s">
        <v>221</v>
      </c>
      <c r="C5" s="0" t="s">
        <v>222</v>
      </c>
      <c r="D5" s="0" t="n">
        <v>7</v>
      </c>
      <c r="E5" s="0" t="s">
        <v>61</v>
      </c>
      <c r="F5" s="0" t="s">
        <v>223</v>
      </c>
      <c r="G5" s="66" t="n">
        <v>0.05</v>
      </c>
      <c r="H5" s="40" t="n">
        <v>5.0</v>
      </c>
      <c r="I5" s="40" t="n">
        <v>30.0</v>
      </c>
      <c r="J5" s="0" t="s">
        <v>224</v>
      </c>
    </row>
    <row r="6">
      <c r="A6" s="0" t="s">
        <v>19</v>
      </c>
      <c r="B6" s="0" t="s">
        <v>221</v>
      </c>
      <c r="C6" s="0" t="s">
        <v>222</v>
      </c>
      <c r="D6" s="0" t="n">
        <v>7</v>
      </c>
      <c r="E6" s="0" t="s">
        <v>74</v>
      </c>
      <c r="F6" s="0" t="s">
        <v>225</v>
      </c>
      <c r="G6" s="66" t="n">
        <v>0.35</v>
      </c>
      <c r="H6" s="40" t="n">
        <v>1.74</v>
      </c>
      <c r="I6" s="40" t="n">
        <v>3.48</v>
      </c>
      <c r="J6" s="0" t="s">
        <v>226</v>
      </c>
    </row>
    <row r="7">
      <c r="A7" s="0" t="s">
        <v>19</v>
      </c>
      <c r="B7" s="0" t="s">
        <v>221</v>
      </c>
      <c r="C7" s="0" t="s">
        <v>222</v>
      </c>
      <c r="D7" s="0" t="n">
        <v>7</v>
      </c>
      <c r="E7" s="0" t="s">
        <v>76</v>
      </c>
      <c r="F7" s="0" t="s">
        <v>225</v>
      </c>
      <c r="G7" s="66" t="n">
        <v>0.2</v>
      </c>
      <c r="H7" s="40" t="n">
        <v>0.14</v>
      </c>
      <c r="I7" s="40" t="n">
        <v>0.28</v>
      </c>
      <c r="J7" s="0" t="s">
        <v>227</v>
      </c>
    </row>
    <row r="8">
      <c r="A8" s="0" t="s">
        <v>19</v>
      </c>
      <c r="B8" s="0" t="s">
        <v>221</v>
      </c>
      <c r="C8" s="0" t="s">
        <v>222</v>
      </c>
      <c r="D8" s="0" t="n">
        <v>7</v>
      </c>
      <c r="E8" s="0" t="s">
        <v>71</v>
      </c>
      <c r="F8" s="0" t="s">
        <v>228</v>
      </c>
      <c r="G8" s="66" t="n">
        <v>0.05</v>
      </c>
      <c r="H8" s="40" t="n">
        <v>0.4</v>
      </c>
      <c r="I8" s="40" t="n">
        <v>1.2</v>
      </c>
      <c r="J8" s="0" t="s">
        <v>229</v>
      </c>
    </row>
    <row r="9">
      <c r="A9" s="0" t="s">
        <v>19</v>
      </c>
      <c r="B9" s="0" t="s">
        <v>221</v>
      </c>
      <c r="C9" s="0" t="s">
        <v>222</v>
      </c>
      <c r="D9" s="0" t="n">
        <v>7</v>
      </c>
      <c r="E9" s="0" t="s">
        <v>65</v>
      </c>
      <c r="F9" s="0" t="s">
        <v>223</v>
      </c>
      <c r="G9" s="66" t="n">
        <v>0.15</v>
      </c>
      <c r="H9" s="40" t="n">
        <v>0.25</v>
      </c>
      <c r="I9" s="40" t="n">
        <v>2.0</v>
      </c>
      <c r="J9" s="0" t="s">
        <v>230</v>
      </c>
    </row>
    <row r="10">
      <c r="A10" s="0" t="s">
        <v>19</v>
      </c>
      <c r="B10" s="0" t="s">
        <v>221</v>
      </c>
      <c r="C10" s="0" t="s">
        <v>222</v>
      </c>
      <c r="D10" s="0" t="n">
        <v>7</v>
      </c>
      <c r="E10" s="0" t="s">
        <v>77</v>
      </c>
      <c r="F10" s="0" t="s">
        <v>225</v>
      </c>
      <c r="G10" s="66" t="n">
        <v>0.1</v>
      </c>
      <c r="H10" s="40" t="n">
        <v>1.3</v>
      </c>
      <c r="I10" s="40" t="n">
        <v>7.8</v>
      </c>
      <c r="J10" s="0" t="s">
        <v>231</v>
      </c>
    </row>
    <row r="11">
      <c r="A11" s="0" t="s">
        <v>19</v>
      </c>
      <c r="B11" s="0" t="s">
        <v>221</v>
      </c>
      <c r="C11" s="0" t="s">
        <v>222</v>
      </c>
      <c r="D11" s="0" t="n">
        <v>7</v>
      </c>
      <c r="E11" s="0" t="s">
        <v>66</v>
      </c>
      <c r="F11" s="0" t="s">
        <v>223</v>
      </c>
      <c r="G11" s="66" t="n">
        <v>0.1</v>
      </c>
      <c r="H11" s="40" t="n">
        <v>1.1</v>
      </c>
      <c r="I11" s="40" t="n">
        <v>4.4</v>
      </c>
      <c r="J11" s="0" t="s">
        <v>232</v>
      </c>
    </row>
    <row r="12">
      <c r="A12" s="0" t="s">
        <v>20</v>
      </c>
      <c r="B12" s="0" t="s">
        <v>233</v>
      </c>
      <c r="C12" s="0" t="s">
        <v>234</v>
      </c>
      <c r="D12" s="0" t="n">
        <v>9</v>
      </c>
      <c r="E12" s="0" t="s">
        <v>61</v>
      </c>
      <c r="F12" s="0" t="s">
        <v>223</v>
      </c>
      <c r="G12" s="66" t="n">
        <v>0.07</v>
      </c>
      <c r="H12" s="40" t="n">
        <v>5.0</v>
      </c>
      <c r="I12" s="40" t="n">
        <v>30.0</v>
      </c>
      <c r="J12" s="0" t="s">
        <v>235</v>
      </c>
    </row>
    <row r="13">
      <c r="A13" s="0" t="s">
        <v>20</v>
      </c>
      <c r="B13" s="0" t="s">
        <v>233</v>
      </c>
      <c r="C13" s="0" t="s">
        <v>234</v>
      </c>
      <c r="D13" s="0" t="n">
        <v>9</v>
      </c>
      <c r="E13" s="0" t="s">
        <v>63</v>
      </c>
      <c r="F13" s="0" t="s">
        <v>223</v>
      </c>
      <c r="G13" s="66" t="n">
        <v>0.17</v>
      </c>
      <c r="H13" s="40" t="n">
        <v>1.25</v>
      </c>
      <c r="I13" s="40" t="n">
        <v>10.0</v>
      </c>
      <c r="J13" s="0" t="s">
        <v>236</v>
      </c>
    </row>
    <row r="14">
      <c r="A14" s="0" t="s">
        <v>20</v>
      </c>
      <c r="B14" s="0" t="s">
        <v>233</v>
      </c>
      <c r="C14" s="0" t="s">
        <v>234</v>
      </c>
      <c r="D14" s="0" t="n">
        <v>9</v>
      </c>
      <c r="E14" s="0" t="s">
        <v>69</v>
      </c>
      <c r="F14" s="0" t="s">
        <v>228</v>
      </c>
      <c r="G14" s="66" t="n">
        <v>0.05</v>
      </c>
      <c r="H14" s="40" t="n">
        <v>3.5</v>
      </c>
      <c r="I14" s="40" t="n">
        <v>15.0</v>
      </c>
      <c r="J14" s="0" t="s">
        <v>237</v>
      </c>
    </row>
    <row r="15">
      <c r="A15" s="0" t="s">
        <v>20</v>
      </c>
      <c r="B15" s="0" t="s">
        <v>233</v>
      </c>
      <c r="C15" s="0" t="s">
        <v>234</v>
      </c>
      <c r="D15" s="0" t="n">
        <v>9</v>
      </c>
      <c r="E15" s="0" t="s">
        <v>74</v>
      </c>
      <c r="F15" s="0" t="s">
        <v>225</v>
      </c>
      <c r="G15" s="66" t="n">
        <v>0.18</v>
      </c>
      <c r="H15" s="40" t="n">
        <v>1.74</v>
      </c>
      <c r="I15" s="40" t="n">
        <v>3.48</v>
      </c>
      <c r="J15" s="0" t="s">
        <v>238</v>
      </c>
    </row>
    <row r="16">
      <c r="A16" s="0" t="s">
        <v>20</v>
      </c>
      <c r="B16" s="0" t="s">
        <v>233</v>
      </c>
      <c r="C16" s="0" t="s">
        <v>234</v>
      </c>
      <c r="D16" s="0" t="n">
        <v>9</v>
      </c>
      <c r="E16" s="0" t="s">
        <v>65</v>
      </c>
      <c r="F16" s="0" t="s">
        <v>223</v>
      </c>
      <c r="G16" s="66" t="n">
        <v>0.16</v>
      </c>
      <c r="H16" s="40" t="n">
        <v>0.25</v>
      </c>
      <c r="I16" s="40" t="n">
        <v>2.0</v>
      </c>
      <c r="J16" s="0" t="s">
        <v>239</v>
      </c>
    </row>
    <row r="17">
      <c r="A17" s="0" t="s">
        <v>20</v>
      </c>
      <c r="B17" s="0" t="s">
        <v>233</v>
      </c>
      <c r="C17" s="0" t="s">
        <v>234</v>
      </c>
      <c r="D17" s="0" t="n">
        <v>9</v>
      </c>
      <c r="E17" s="0" t="s">
        <v>71</v>
      </c>
      <c r="F17" s="0" t="s">
        <v>228</v>
      </c>
      <c r="G17" s="66" t="n">
        <v>0.04</v>
      </c>
      <c r="H17" s="40" t="n">
        <v>0.4</v>
      </c>
      <c r="I17" s="40" t="n">
        <v>1.2</v>
      </c>
      <c r="J17" s="0" t="s">
        <v>240</v>
      </c>
    </row>
    <row r="18">
      <c r="A18" s="0" t="s">
        <v>20</v>
      </c>
      <c r="B18" s="0" t="s">
        <v>233</v>
      </c>
      <c r="C18" s="0" t="s">
        <v>234</v>
      </c>
      <c r="D18" s="0" t="n">
        <v>9</v>
      </c>
      <c r="E18" s="0" t="s">
        <v>76</v>
      </c>
      <c r="F18" s="0" t="s">
        <v>225</v>
      </c>
      <c r="G18" s="66" t="n">
        <v>0.13</v>
      </c>
      <c r="H18" s="40" t="n">
        <v>0.14</v>
      </c>
      <c r="I18" s="40" t="n">
        <v>0.28</v>
      </c>
      <c r="J18" s="0" t="s">
        <v>241</v>
      </c>
    </row>
    <row r="19">
      <c r="A19" s="0" t="s">
        <v>20</v>
      </c>
      <c r="B19" s="0" t="s">
        <v>233</v>
      </c>
      <c r="C19" s="0" t="s">
        <v>234</v>
      </c>
      <c r="D19" s="0" t="n">
        <v>9</v>
      </c>
      <c r="E19" s="0" t="s">
        <v>77</v>
      </c>
      <c r="F19" s="0" t="s">
        <v>225</v>
      </c>
      <c r="G19" s="66" t="n">
        <v>0.1</v>
      </c>
      <c r="H19" s="40" t="n">
        <v>1.3</v>
      </c>
      <c r="I19" s="40" t="n">
        <v>7.8</v>
      </c>
      <c r="J19" s="0" t="s">
        <v>242</v>
      </c>
    </row>
    <row r="20">
      <c r="A20" s="0" t="s">
        <v>20</v>
      </c>
      <c r="B20" s="0" t="s">
        <v>233</v>
      </c>
      <c r="C20" s="0" t="s">
        <v>234</v>
      </c>
      <c r="D20" s="0" t="n">
        <v>9</v>
      </c>
      <c r="E20" s="0" t="s">
        <v>66</v>
      </c>
      <c r="F20" s="0" t="s">
        <v>223</v>
      </c>
      <c r="G20" s="66" t="n">
        <v>0.1</v>
      </c>
      <c r="H20" s="40" t="n">
        <v>1.1</v>
      </c>
      <c r="I20" s="40" t="n">
        <v>4.4</v>
      </c>
      <c r="J20" s="0" t="s">
        <v>232</v>
      </c>
    </row>
    <row r="21">
      <c r="A21" s="0" t="s">
        <v>21</v>
      </c>
      <c r="B21" s="0" t="s">
        <v>243</v>
      </c>
      <c r="C21" s="0" t="s">
        <v>244</v>
      </c>
      <c r="D21" s="0" t="n">
        <v>7</v>
      </c>
      <c r="E21" s="0" t="s">
        <v>61</v>
      </c>
      <c r="F21" s="0" t="s">
        <v>223</v>
      </c>
      <c r="G21" s="66" t="n">
        <v>0.18</v>
      </c>
      <c r="H21" s="40" t="n">
        <v>5.0</v>
      </c>
      <c r="I21" s="40" t="n">
        <v>30.0</v>
      </c>
      <c r="J21" s="0" t="s">
        <v>245</v>
      </c>
    </row>
    <row r="22">
      <c r="A22" s="0" t="s">
        <v>21</v>
      </c>
      <c r="B22" s="0" t="s">
        <v>243</v>
      </c>
      <c r="C22" s="0" t="s">
        <v>244</v>
      </c>
      <c r="D22" s="0" t="n">
        <v>7</v>
      </c>
      <c r="E22" s="0" t="s">
        <v>63</v>
      </c>
      <c r="F22" s="0" t="s">
        <v>223</v>
      </c>
      <c r="G22" s="66" t="n">
        <v>0.3</v>
      </c>
      <c r="H22" s="40" t="n">
        <v>1.25</v>
      </c>
      <c r="I22" s="40" t="n">
        <v>10.0</v>
      </c>
      <c r="J22" s="0" t="s">
        <v>246</v>
      </c>
    </row>
    <row r="23">
      <c r="A23" s="0" t="s">
        <v>21</v>
      </c>
      <c r="B23" s="0" t="s">
        <v>243</v>
      </c>
      <c r="C23" s="0" t="s">
        <v>244</v>
      </c>
      <c r="D23" s="0" t="n">
        <v>7</v>
      </c>
      <c r="E23" s="0" t="s">
        <v>69</v>
      </c>
      <c r="F23" s="0" t="s">
        <v>228</v>
      </c>
      <c r="G23" s="66" t="n">
        <v>0.05</v>
      </c>
      <c r="H23" s="40" t="n">
        <v>3.5</v>
      </c>
      <c r="I23" s="40" t="n">
        <v>15.0</v>
      </c>
      <c r="J23" s="0" t="s">
        <v>237</v>
      </c>
    </row>
    <row r="24">
      <c r="A24" s="0" t="s">
        <v>21</v>
      </c>
      <c r="B24" s="0" t="s">
        <v>243</v>
      </c>
      <c r="C24" s="0" t="s">
        <v>244</v>
      </c>
      <c r="D24" s="0" t="n">
        <v>7</v>
      </c>
      <c r="E24" s="0" t="s">
        <v>65</v>
      </c>
      <c r="F24" s="0" t="s">
        <v>223</v>
      </c>
      <c r="G24" s="66" t="n">
        <v>0.2</v>
      </c>
      <c r="H24" s="40" t="n">
        <v>0.25</v>
      </c>
      <c r="I24" s="40" t="n">
        <v>2.0</v>
      </c>
      <c r="J24" s="0" t="s">
        <v>247</v>
      </c>
    </row>
    <row r="25">
      <c r="A25" s="0" t="s">
        <v>21</v>
      </c>
      <c r="B25" s="0" t="s">
        <v>243</v>
      </c>
      <c r="C25" s="0" t="s">
        <v>244</v>
      </c>
      <c r="D25" s="0" t="n">
        <v>7</v>
      </c>
      <c r="E25" s="0" t="s">
        <v>74</v>
      </c>
      <c r="F25" s="0" t="s">
        <v>225</v>
      </c>
      <c r="G25" s="66" t="n">
        <v>0.1</v>
      </c>
      <c r="H25" s="40" t="n">
        <v>1.74</v>
      </c>
      <c r="I25" s="40" t="n">
        <v>3.48</v>
      </c>
      <c r="J25" s="0" t="s">
        <v>248</v>
      </c>
    </row>
    <row r="26">
      <c r="A26" s="0" t="s">
        <v>21</v>
      </c>
      <c r="B26" s="0" t="s">
        <v>243</v>
      </c>
      <c r="C26" s="0" t="s">
        <v>244</v>
      </c>
      <c r="D26" s="0" t="n">
        <v>7</v>
      </c>
      <c r="E26" s="0" t="s">
        <v>77</v>
      </c>
      <c r="F26" s="0" t="s">
        <v>225</v>
      </c>
      <c r="G26" s="66" t="n">
        <v>0.07</v>
      </c>
      <c r="H26" s="40" t="n">
        <v>1.3</v>
      </c>
      <c r="I26" s="40" t="n">
        <v>7.8</v>
      </c>
      <c r="J26" s="0" t="s">
        <v>249</v>
      </c>
    </row>
    <row r="27">
      <c r="A27" s="0" t="s">
        <v>21</v>
      </c>
      <c r="B27" s="0" t="s">
        <v>243</v>
      </c>
      <c r="C27" s="0" t="s">
        <v>244</v>
      </c>
      <c r="D27" s="0" t="n">
        <v>7</v>
      </c>
      <c r="E27" s="0" t="s">
        <v>66</v>
      </c>
      <c r="F27" s="0" t="s">
        <v>223</v>
      </c>
      <c r="G27" s="66" t="n">
        <v>0.1</v>
      </c>
      <c r="H27" s="40" t="n">
        <v>1.1</v>
      </c>
      <c r="I27" s="40" t="n">
        <v>4.4</v>
      </c>
      <c r="J27" s="0" t="s">
        <v>232</v>
      </c>
    </row>
    <row r="28">
      <c r="A28" s="0" t="s">
        <v>22</v>
      </c>
      <c r="B28" s="0" t="s">
        <v>250</v>
      </c>
      <c r="C28" s="0" t="s">
        <v>251</v>
      </c>
      <c r="D28" s="0" t="n">
        <v>6</v>
      </c>
      <c r="E28" s="0" t="s">
        <v>79</v>
      </c>
      <c r="F28" s="0" t="s">
        <v>252</v>
      </c>
      <c r="G28" s="66" t="n">
        <v>0.12</v>
      </c>
      <c r="H28" s="40" t="n">
        <v>5.0</v>
      </c>
      <c r="I28" s="40" t="n">
        <v>25.0</v>
      </c>
      <c r="J28" s="0" t="s">
        <v>253</v>
      </c>
    </row>
    <row r="29">
      <c r="A29" s="0" t="s">
        <v>22</v>
      </c>
      <c r="B29" s="0" t="s">
        <v>250</v>
      </c>
      <c r="C29" s="0" t="s">
        <v>251</v>
      </c>
      <c r="D29" s="0" t="n">
        <v>6</v>
      </c>
      <c r="E29" s="0" t="s">
        <v>81</v>
      </c>
      <c r="F29" s="0" t="s">
        <v>252</v>
      </c>
      <c r="G29" s="66" t="n">
        <v>0.46</v>
      </c>
      <c r="H29" s="40" t="n">
        <v>3.0</v>
      </c>
      <c r="I29" s="40" t="n">
        <v>15.0</v>
      </c>
      <c r="J29" s="0" t="s">
        <v>254</v>
      </c>
    </row>
    <row r="30">
      <c r="A30" s="0" t="s">
        <v>22</v>
      </c>
      <c r="B30" s="0" t="s">
        <v>250</v>
      </c>
      <c r="C30" s="0" t="s">
        <v>251</v>
      </c>
      <c r="D30" s="0" t="n">
        <v>6</v>
      </c>
      <c r="E30" s="0" t="s">
        <v>69</v>
      </c>
      <c r="F30" s="0" t="s">
        <v>228</v>
      </c>
      <c r="G30" s="66" t="n">
        <v>0.04</v>
      </c>
      <c r="H30" s="40" t="n">
        <v>3.5</v>
      </c>
      <c r="I30" s="40" t="n">
        <v>15.0</v>
      </c>
      <c r="J30" s="0" t="s">
        <v>255</v>
      </c>
    </row>
    <row r="31">
      <c r="A31" s="0" t="s">
        <v>22</v>
      </c>
      <c r="B31" s="0" t="s">
        <v>250</v>
      </c>
      <c r="C31" s="0" t="s">
        <v>251</v>
      </c>
      <c r="D31" s="0" t="n">
        <v>6</v>
      </c>
      <c r="E31" s="0" t="s">
        <v>82</v>
      </c>
      <c r="F31" s="0" t="s">
        <v>252</v>
      </c>
      <c r="G31" s="66" t="n">
        <v>0.18</v>
      </c>
      <c r="H31" s="40" t="n">
        <v>1.0</v>
      </c>
      <c r="I31" s="40" t="n">
        <v>5.0</v>
      </c>
      <c r="J31" s="0" t="s">
        <v>256</v>
      </c>
    </row>
    <row r="32">
      <c r="A32" s="0" t="s">
        <v>22</v>
      </c>
      <c r="B32" s="0" t="s">
        <v>250</v>
      </c>
      <c r="C32" s="0" t="s">
        <v>251</v>
      </c>
      <c r="D32" s="0" t="n">
        <v>6</v>
      </c>
      <c r="E32" s="0" t="s">
        <v>74</v>
      </c>
      <c r="F32" s="0" t="s">
        <v>225</v>
      </c>
      <c r="G32" s="66" t="n">
        <v>0.12</v>
      </c>
      <c r="H32" s="40" t="n">
        <v>1.74</v>
      </c>
      <c r="I32" s="40" t="n">
        <v>3.48</v>
      </c>
      <c r="J32" s="0" t="s">
        <v>257</v>
      </c>
    </row>
    <row r="33">
      <c r="A33" s="0" t="s">
        <v>22</v>
      </c>
      <c r="B33" s="0" t="s">
        <v>250</v>
      </c>
      <c r="C33" s="0" t="s">
        <v>251</v>
      </c>
      <c r="D33" s="0" t="n">
        <v>6</v>
      </c>
      <c r="E33" s="0" t="s">
        <v>77</v>
      </c>
      <c r="F33" s="0" t="s">
        <v>225</v>
      </c>
      <c r="G33" s="66" t="n">
        <v>0.08</v>
      </c>
      <c r="H33" s="40" t="n">
        <v>1.3</v>
      </c>
      <c r="I33" s="40" t="n">
        <v>7.8</v>
      </c>
      <c r="J33" s="0" t="s">
        <v>258</v>
      </c>
    </row>
  </sheetData>
  <pageMargins left="0.75" right="0.75" top="1" bottom="1.0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workbookViewId="0">
      <selection activeCell="A1" sqref="A1"/>
    </sheetView>
  </sheetViews>
  <sheetFormatPr defaultRowHeight="12.8"/>
  <cols>
    <col min="1" max="1" width="12" customWidth="1"/>
    <col min="2" max="2" width="28" customWidth="1"/>
    <col min="3" max="3" width="8" customWidth="1"/>
    <col min="4" max="4" width="16" customWidth="1"/>
    <col min="5" max="5" width="16" customWidth="1"/>
    <col min="6" max="6" width="16" customWidth="1"/>
    <col min="7" max="7" width="16" customWidth="1"/>
    <col min="8" max="8" width="14" customWidth="1"/>
    <col min="9" max="9" width="14" customWidth="1"/>
    <col min="10" max="10" width="14" customWidth="1"/>
    <col min="11" max="11" width="14" customWidth="1"/>
    <col min="12" max="12" width="14" customWidth="1"/>
  </cols>
  <sheetData>
    <row r="1">
      <c r="A1" s="42" t="s">
        <v>259</v>
      </c>
    </row>
    <row r="2">
      <c r="A2" s="39" t="s">
        <v>260</v>
      </c>
    </row>
    <row r="3">
</row>
    <row r="4">
      <c r="A4" s="7" t="s">
        <v>10</v>
      </c>
      <c r="B4" s="7" t="s">
        <v>215</v>
      </c>
      <c r="C4" s="7" t="s">
        <v>217</v>
      </c>
      <c r="D4" s="7" t="s">
        <v>261</v>
      </c>
      <c r="E4" s="7" t="s">
        <v>26</v>
      </c>
      <c r="F4" s="7" t="s">
        <v>15</v>
      </c>
      <c r="G4" s="7" t="s">
        <v>16</v>
      </c>
      <c r="H4" s="7" t="s">
        <v>18</v>
      </c>
      <c r="I4" s="7" t="s">
        <v>17</v>
      </c>
      <c r="J4" s="7" t="s">
        <v>262</v>
      </c>
      <c r="K4" s="7" t="s">
        <v>263</v>
      </c>
      <c r="L4" s="7" t="s">
        <v>264</v>
      </c>
    </row>
    <row r="5">
      <c r="A5" s="0" t="s">
        <v>19</v>
      </c>
      <c r="B5" s="0" t="s">
        <v>221</v>
      </c>
      <c r="C5" s="0" t="n">
        <v>7</v>
      </c>
      <c r="D5" s="36" t="n">
        <v>11198.75625</v>
      </c>
      <c r="E5" s="36" t="n">
        <v>134385.075</v>
      </c>
      <c r="F5" s="36" t="n">
        <v>403155.22500000003</v>
      </c>
      <c r="G5" s="36" t="n">
        <v>671925.375</v>
      </c>
      <c r="H5" s="67" t="n">
        <v>3.73291875</v>
      </c>
      <c r="I5" s="67" t="n">
        <v>44.795025</v>
      </c>
      <c r="J5" s="67" t="n">
        <v>134.385075</v>
      </c>
      <c r="K5" s="67" t="n">
        <v>223.97512500000002</v>
      </c>
      <c r="L5" s="40" t="n">
        <v>0.012443062500000001</v>
      </c>
    </row>
    <row r="6">
      <c r="A6" s="0" t="s">
        <v>20</v>
      </c>
      <c r="B6" s="0" t="s">
        <v>233</v>
      </c>
      <c r="C6" s="0" t="n">
        <v>9</v>
      </c>
      <c r="D6" s="36" t="n">
        <v>14241.07575</v>
      </c>
      <c r="E6" s="36" t="n">
        <v>170892.90899999999</v>
      </c>
      <c r="F6" s="36" t="n">
        <v>512678.72699999996</v>
      </c>
      <c r="G6" s="36" t="n">
        <v>854464.5449999999</v>
      </c>
      <c r="H6" s="67" t="n">
        <v>4.747025249999999</v>
      </c>
      <c r="I6" s="67" t="n">
        <v>56.964302999999994</v>
      </c>
      <c r="J6" s="67" t="n">
        <v>170.89290899999997</v>
      </c>
      <c r="K6" s="67" t="n">
        <v>284.821515</v>
      </c>
      <c r="L6" s="40" t="n">
        <v>0.0158234175</v>
      </c>
    </row>
    <row r="7">
      <c r="A7" s="0" t="s">
        <v>21</v>
      </c>
      <c r="B7" s="0" t="s">
        <v>243</v>
      </c>
      <c r="C7" s="0" t="n">
        <v>7</v>
      </c>
      <c r="D7" s="36" t="n">
        <v>19084.590000000004</v>
      </c>
      <c r="E7" s="36" t="n">
        <v>229015.08000000005</v>
      </c>
      <c r="F7" s="36" t="n">
        <v>687045.2400000001</v>
      </c>
      <c r="G7" s="36" t="n">
        <v>1145075.4000000001</v>
      </c>
      <c r="H7" s="67" t="n">
        <v>6.361530000000001</v>
      </c>
      <c r="I7" s="67" t="n">
        <v>76.33836000000001</v>
      </c>
      <c r="J7" s="67" t="n">
        <v>229.01508</v>
      </c>
      <c r="K7" s="67" t="n">
        <v>381.69180000000006</v>
      </c>
      <c r="L7" s="40" t="n">
        <v>0.021205100000000005</v>
      </c>
    </row>
    <row r="8">
      <c r="A8" s="0" t="s">
        <v>22</v>
      </c>
      <c r="B8" s="0" t="s">
        <v>250</v>
      </c>
      <c r="C8" s="0" t="n">
        <v>6</v>
      </c>
      <c r="D8" s="36" t="n">
        <v>22984.254</v>
      </c>
      <c r="E8" s="36" t="n">
        <v>275811.048</v>
      </c>
      <c r="F8" s="36" t="n">
        <v>827433.1440000001</v>
      </c>
      <c r="G8" s="36" t="n">
        <v>1379055.24</v>
      </c>
      <c r="H8" s="67" t="n">
        <v>7.661418</v>
      </c>
      <c r="I8" s="67" t="n">
        <v>91.937016</v>
      </c>
      <c r="J8" s="67" t="n">
        <v>275.811048</v>
      </c>
      <c r="K8" s="67" t="n">
        <v>459.68507999999997</v>
      </c>
      <c r="L8" s="40" t="n">
        <v>0.02553806</v>
      </c>
    </row>
  </sheetData>
  <pageMargins left="0.75" right="0.75" top="1" bottom="1.0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workbookViewId="0">
      <selection activeCell="A1" sqref="A1"/>
    </sheetView>
  </sheetViews>
  <sheetFormatPr defaultRowHeight="12.8"/>
  <cols>
    <col min="1" max="1" width="12" customWidth="1"/>
    <col min="2" max="2" width="14" customWidth="1"/>
    <col min="3" max="3" width="14" customWidth="1"/>
    <col min="4" max="4" width="14" customWidth="1"/>
    <col min="5" max="5" width="14" customWidth="1"/>
    <col min="6" max="6" width="14" customWidth="1"/>
    <col min="7" max="7" width="14" customWidth="1"/>
  </cols>
  <sheetData>
    <row r="1">
      <c r="A1" s="42" t="s">
        <v>265</v>
      </c>
    </row>
    <row r="2">
      <c r="A2" s="39" t="s">
        <v>266</v>
      </c>
    </row>
    <row r="3">
</row>
    <row r="4">
      <c r="A4" s="7" t="s">
        <v>10</v>
      </c>
      <c r="B4" s="7" t="s">
        <v>267</v>
      </c>
      <c r="C4" s="7" t="s">
        <v>268</v>
      </c>
      <c r="D4" s="7" t="s">
        <v>269</v>
      </c>
      <c r="E4" s="7" t="s">
        <v>270</v>
      </c>
      <c r="F4" s="7" t="s">
        <v>271</v>
      </c>
      <c r="G4" s="7" t="s">
        <v>272</v>
      </c>
    </row>
    <row r="5">
      <c r="A5" s="0" t="s">
        <v>19</v>
      </c>
      <c r="B5" s="36" t="n">
        <v>11198.75625</v>
      </c>
      <c r="C5" s="36" t="n">
        <v>134385.075</v>
      </c>
      <c r="D5" s="36" t="n">
        <v>268770.15</v>
      </c>
      <c r="E5" s="36" t="n">
        <v>403155.22500000003</v>
      </c>
      <c r="F5" s="36" t="n">
        <v>537540.3</v>
      </c>
      <c r="G5" s="36" t="n">
        <v>671925.375</v>
      </c>
    </row>
    <row r="6">
      <c r="A6" s="0" t="s">
        <v>20</v>
      </c>
      <c r="B6" s="36" t="n">
        <v>14241.07575</v>
      </c>
      <c r="C6" s="36" t="n">
        <v>170892.90899999999</v>
      </c>
      <c r="D6" s="36" t="n">
        <v>341785.81799999997</v>
      </c>
      <c r="E6" s="36" t="n">
        <v>512678.727</v>
      </c>
      <c r="F6" s="36" t="n">
        <v>683571.6359999999</v>
      </c>
      <c r="G6" s="36" t="n">
        <v>854464.545</v>
      </c>
    </row>
    <row r="7">
      <c r="A7" s="0" t="s">
        <v>21</v>
      </c>
      <c r="B7" s="36" t="n">
        <v>19084.590000000004</v>
      </c>
      <c r="C7" s="36" t="n">
        <v>229015.08000000005</v>
      </c>
      <c r="D7" s="36" t="n">
        <v>458030.1600000001</v>
      </c>
      <c r="E7" s="36" t="n">
        <v>687045.2400000001</v>
      </c>
      <c r="F7" s="36" t="n">
        <v>916060.3200000002</v>
      </c>
      <c r="G7" s="36" t="n">
        <v>1145075.4000000001</v>
      </c>
    </row>
    <row r="8">
      <c r="A8" s="0" t="s">
        <v>22</v>
      </c>
      <c r="B8" s="36" t="n">
        <v>22984.254</v>
      </c>
      <c r="C8" s="36" t="n">
        <v>275811.048</v>
      </c>
      <c r="D8" s="36" t="n">
        <v>551622.096</v>
      </c>
      <c r="E8" s="36" t="n">
        <v>827433.1440000001</v>
      </c>
      <c r="F8" s="36" t="n">
        <v>1103244.192</v>
      </c>
      <c r="G8" s="36" t="n">
        <v>1379055.24</v>
      </c>
    </row>
  </sheetData>
  <pageMargins left="0.75" right="0.75" top="1" bottom="1.0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workbookViewId="0">
      <selection activeCell="A1" sqref="A1"/>
    </sheetView>
  </sheetViews>
  <sheetFormatPr defaultRowHeight="12.8"/>
  <cols>
    <col min="1" max="1" width="12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</cols>
  <sheetData>
    <row r="1">
      <c r="A1" s="42" t="s">
        <v>273</v>
      </c>
    </row>
    <row r="2">
      <c r="A2" s="39" t="s">
        <v>274</v>
      </c>
    </row>
    <row r="3">
</row>
    <row r="4">
      <c r="A4" s="7" t="s">
        <v>10</v>
      </c>
      <c r="B4" s="7" t="s">
        <v>275</v>
      </c>
      <c r="C4" s="7" t="s">
        <v>276</v>
      </c>
      <c r="D4" s="7" t="s">
        <v>277</v>
      </c>
      <c r="E4" s="7" t="s">
        <v>278</v>
      </c>
      <c r="F4" s="7" t="s">
        <v>279</v>
      </c>
      <c r="G4" s="7" t="s">
        <v>280</v>
      </c>
      <c r="H4" s="7" t="s">
        <v>281</v>
      </c>
    </row>
    <row r="5">
      <c r="A5" s="0" t="s">
        <v>19</v>
      </c>
      <c r="B5" s="36" t="n">
        <v>79817.5125</v>
      </c>
      <c r="C5" s="36" t="n">
        <v>161487.56250000003</v>
      </c>
      <c r="D5" s="36" t="n">
        <v>263575.12500000006</v>
      </c>
      <c r="E5" s="36" t="n">
        <v>671925.375</v>
      </c>
      <c r="F5" s="36" t="n">
        <v>2101151.25</v>
      </c>
      <c r="G5" s="36" t="n">
        <v>6184653.75</v>
      </c>
      <c r="H5" s="36" t="n">
        <v>10268156.25</v>
      </c>
    </row>
    <row r="6">
      <c r="A6" s="0" t="s">
        <v>20</v>
      </c>
      <c r="B6" s="36" t="n">
        <v>85902.1515</v>
      </c>
      <c r="C6" s="36" t="n">
        <v>191910.7575</v>
      </c>
      <c r="D6" s="36" t="n">
        <v>324421.515</v>
      </c>
      <c r="E6" s="36" t="n">
        <v>854464.5449999999</v>
      </c>
      <c r="F6" s="36" t="n">
        <v>2709615.1500000004</v>
      </c>
      <c r="G6" s="36" t="n">
        <v>8010045.45</v>
      </c>
      <c r="H6" s="36" t="n">
        <v>13310475.750000002</v>
      </c>
    </row>
    <row r="7">
      <c r="A7" s="0" t="s">
        <v>21</v>
      </c>
      <c r="B7" s="36" t="n">
        <v>95589.17999999998</v>
      </c>
      <c r="C7" s="36" t="n">
        <v>240345.9</v>
      </c>
      <c r="D7" s="36" t="n">
        <v>421291.8</v>
      </c>
      <c r="E7" s="36" t="n">
        <v>1145075.4000000001</v>
      </c>
      <c r="F7" s="36" t="n">
        <v>3678318.0000000005</v>
      </c>
      <c r="G7" s="36" t="n">
        <v>10916154.0</v>
      </c>
      <c r="H7" s="36" t="n">
        <v>18153990.0</v>
      </c>
    </row>
    <row r="8">
      <c r="A8" s="0" t="s">
        <v>22</v>
      </c>
      <c r="B8" s="36" t="n">
        <v>103388.508</v>
      </c>
      <c r="C8" s="36" t="n">
        <v>279342.54000000004</v>
      </c>
      <c r="D8" s="36" t="n">
        <v>499285.0800000001</v>
      </c>
      <c r="E8" s="36" t="n">
        <v>1379055.24</v>
      </c>
      <c r="F8" s="36" t="n">
        <v>4458250.8</v>
      </c>
      <c r="G8" s="36" t="n">
        <v>13255952.400000002</v>
      </c>
      <c r="H8" s="36" t="n">
        <v>22053654.000000004</v>
      </c>
    </row>
  </sheetData>
  <pageMargins left="0.75" right="0.75" top="1" bottom="1.0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Elixlsx</Application>
  <AppVersion>0.60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2026-06-29T13:29:55Z</dcterms:created>
  <dc:language>en-US</dc:language>
  <dcterms:modified xsi:type="dcterms:W3CDTF">2026-06-29T13:29:55Z</dcterms:modified>
  <cp:revision>1</cp:revision>
</cp:coreProperties>
</file>